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120" windowHeight="4785" activeTab="0"/>
  </bookViews>
  <sheets>
    <sheet name="CU FORMAT 10 &amp; 70" sheetId="1" r:id="rId1"/>
    <sheet name="UCB" sheetId="2" r:id="rId2"/>
    <sheet name="UCCS" sheetId="3" r:id="rId3"/>
    <sheet name="DDC" sheetId="4" r:id="rId4"/>
    <sheet name="AMC" sheetId="5" r:id="rId5"/>
    <sheet name="SYSTEM" sheetId="6" r:id="rId6"/>
  </sheets>
  <definedNames>
    <definedName name="_Fill" localSheetId="4" hidden="1">'AMC'!#REF!</definedName>
    <definedName name="_Fill" localSheetId="0" hidden="1">'CU FORMAT 10 &amp; 70'!#REF!</definedName>
    <definedName name="_Fill" localSheetId="3" hidden="1">'DDC'!#REF!</definedName>
    <definedName name="_Fill" localSheetId="5" hidden="1">'SYSTEM'!#REF!</definedName>
    <definedName name="_Fill" localSheetId="1" hidden="1">'UCB'!#REF!</definedName>
    <definedName name="_Fill" localSheetId="2" hidden="1">'UCCS'!#REF!</definedName>
    <definedName name="_Fill" hidden="1">#REF!</definedName>
    <definedName name="_Regression_Int" localSheetId="4" hidden="1">1</definedName>
    <definedName name="_Regression_Int" localSheetId="0" hidden="1">1</definedName>
    <definedName name="_Regression_Int" localSheetId="3" hidden="1">1</definedName>
    <definedName name="_Regression_Int" localSheetId="5" hidden="1">1</definedName>
    <definedName name="_Regression_Int" localSheetId="1" hidden="1">1</definedName>
    <definedName name="_Regression_Int" localSheetId="2" hidden="1">1</definedName>
    <definedName name="FMT10" localSheetId="4">'AMC'!#REF!</definedName>
    <definedName name="FMT10" localSheetId="0">'CU FORMAT 10 &amp; 70'!#REF!</definedName>
    <definedName name="FMT10" localSheetId="3">'DDC'!#REF!</definedName>
    <definedName name="FMT10" localSheetId="5">'SYSTEM'!#REF!</definedName>
    <definedName name="FMT10" localSheetId="1">'UCB'!#REF!</definedName>
    <definedName name="FMT10" localSheetId="2">'UCCS'!#REF!</definedName>
    <definedName name="FMT10">#REF!</definedName>
    <definedName name="FMT100" localSheetId="4">'AMC'!#REF!</definedName>
    <definedName name="FMT100" localSheetId="0">'CU FORMAT 10 &amp; 70'!#REF!</definedName>
    <definedName name="FMT100" localSheetId="3">'DDC'!#REF!</definedName>
    <definedName name="FMT100" localSheetId="5">'SYSTEM'!#REF!</definedName>
    <definedName name="FMT100" localSheetId="1">'UCB'!#REF!</definedName>
    <definedName name="FMT100" localSheetId="2">'UCCS'!#REF!</definedName>
    <definedName name="FMT100">#REF!</definedName>
    <definedName name="FMT1100" localSheetId="4">'AMC'!$A$455:$M$491</definedName>
    <definedName name="FMT1100" localSheetId="0">'CU FORMAT 10 &amp; 70'!#REF!</definedName>
    <definedName name="FMT1100" localSheetId="3">'DDC'!$A$487:$M$523</definedName>
    <definedName name="FMT1100" localSheetId="5">'SYSTEM'!#REF!</definedName>
    <definedName name="FMT1100" localSheetId="1">'UCB'!$A$471:$M$507</definedName>
    <definedName name="FMT1100" localSheetId="2">'UCCS'!$A$473:$M$509</definedName>
    <definedName name="FMT1100">#REF!</definedName>
    <definedName name="FMT1200" localSheetId="4">'AMC'!$A$493:$M$528</definedName>
    <definedName name="FMT1200" localSheetId="0">'CU FORMAT 10 &amp; 70'!#REF!</definedName>
    <definedName name="FMT1200" localSheetId="3">'DDC'!$A$525:$M$560</definedName>
    <definedName name="FMT1200" localSheetId="5">'SYSTEM'!#REF!</definedName>
    <definedName name="FMT1200" localSheetId="1">'UCB'!$A$509:$M$544</definedName>
    <definedName name="FMT1200" localSheetId="2">'UCCS'!$A$511:$M$546</definedName>
    <definedName name="FMT1200">#REF!</definedName>
    <definedName name="FMT1300" localSheetId="4">'AMC'!$A$530:$M$565</definedName>
    <definedName name="FMT1300" localSheetId="0">'CU FORMAT 10 &amp; 70'!#REF!</definedName>
    <definedName name="FMT1300" localSheetId="3">'DDC'!$A$562:$M$597</definedName>
    <definedName name="FMT1300" localSheetId="5">'SYSTEM'!#REF!</definedName>
    <definedName name="FMT1300" localSheetId="1">'UCB'!$A$546:$M$581</definedName>
    <definedName name="FMT1300" localSheetId="2">'UCCS'!$A$548:$M$583</definedName>
    <definedName name="FMT1300">#REF!</definedName>
    <definedName name="FMT1400" localSheetId="4">'AMC'!$A$567:$M$602</definedName>
    <definedName name="FMT1400" localSheetId="0">'CU FORMAT 10 &amp; 70'!#REF!</definedName>
    <definedName name="FMT1400" localSheetId="3">'DDC'!$A$599:$M$634</definedName>
    <definedName name="FMT1400" localSheetId="5">'SYSTEM'!#REF!</definedName>
    <definedName name="FMT1400" localSheetId="1">'UCB'!$A$583:$M$618</definedName>
    <definedName name="FMT1400" localSheetId="2">'UCCS'!$A$585:$M$620</definedName>
    <definedName name="FMT1400">#REF!</definedName>
    <definedName name="FMT15" localSheetId="4">'AMC'!#REF!</definedName>
    <definedName name="FMT15" localSheetId="0">'CU FORMAT 10 &amp; 70'!#REF!</definedName>
    <definedName name="FMT15" localSheetId="3">'DDC'!#REF!</definedName>
    <definedName name="FMT15" localSheetId="5">'SYSTEM'!#REF!</definedName>
    <definedName name="FMT15" localSheetId="1">'UCB'!#REF!</definedName>
    <definedName name="FMT15" localSheetId="2">'UCCS'!#REF!</definedName>
    <definedName name="FMT15">#REF!</definedName>
    <definedName name="FMT1500" localSheetId="4">'AMC'!$A$604:$M$639</definedName>
    <definedName name="FMT1500" localSheetId="0">'CU FORMAT 10 &amp; 70'!#REF!</definedName>
    <definedName name="FMT1500" localSheetId="3">'DDC'!$A$636:$M$671</definedName>
    <definedName name="FMT1500" localSheetId="5">'SYSTEM'!#REF!</definedName>
    <definedName name="FMT1500" localSheetId="1">'UCB'!$A$620:$M$655</definedName>
    <definedName name="FMT1500" localSheetId="2">'UCCS'!$A$622:$M$657</definedName>
    <definedName name="FMT1500">#REF!</definedName>
    <definedName name="FMT1600" localSheetId="4">'AMC'!$A$642:$M$675</definedName>
    <definedName name="FMT1600" localSheetId="0">'CU FORMAT 10 &amp; 70'!#REF!</definedName>
    <definedName name="FMT1600" localSheetId="3">'DDC'!$A$674:$M$707</definedName>
    <definedName name="FMT1600" localSheetId="5">'SYSTEM'!$A$183:$M$216</definedName>
    <definedName name="FMT1600" localSheetId="1">'UCB'!$A$658:$M$692</definedName>
    <definedName name="FMT1600" localSheetId="2">'UCCS'!$A$660:$M$693</definedName>
    <definedName name="FMT1600">#REF!</definedName>
    <definedName name="FMT1700" localSheetId="4">'AMC'!$A$677:$M$756</definedName>
    <definedName name="FMT1700" localSheetId="0">'CU FORMAT 10 &amp; 70'!#REF!</definedName>
    <definedName name="FMT1700" localSheetId="3">'DDC'!$A$709:$M$759</definedName>
    <definedName name="FMT1700" localSheetId="5">'SYSTEM'!#REF!</definedName>
    <definedName name="FMT1700" localSheetId="1">'UCB'!$A$694:$M$765</definedName>
    <definedName name="FMT1700" localSheetId="2">'UCCS'!$A$695:$M$744</definedName>
    <definedName name="FMT1700">#REF!</definedName>
    <definedName name="FMT1800" localSheetId="4">'AMC'!$A$760:$M$794</definedName>
    <definedName name="FMT1800" localSheetId="0">'CU FORMAT 10 &amp; 70'!#REF!</definedName>
    <definedName name="FMT1800" localSheetId="3">'DDC'!$A$761:$M$795</definedName>
    <definedName name="FMT1800" localSheetId="5">'SYSTEM'!$A$219:$M$253</definedName>
    <definedName name="FMT1800" localSheetId="1">'UCB'!$A$768:$M$803</definedName>
    <definedName name="FMT1800" localSheetId="2">'UCCS'!$A$746:$M$780</definedName>
    <definedName name="FMT1800">#REF!</definedName>
    <definedName name="FMT1900" localSheetId="4">'AMC'!$A$798:$M$832</definedName>
    <definedName name="FMT1900" localSheetId="0">'CU FORMAT 10 &amp; 70'!#REF!</definedName>
    <definedName name="FMT1900" localSheetId="3">'DDC'!$A$799:$M$833</definedName>
    <definedName name="FMT1900" localSheetId="5">'SYSTEM'!#REF!</definedName>
    <definedName name="FMT1900" localSheetId="1">'UCB'!$A$805:$M$840</definedName>
    <definedName name="FMT1900" localSheetId="2">'UCCS'!$A$784:$M$818</definedName>
    <definedName name="FMT1900">#REF!</definedName>
    <definedName name="FMT20" localSheetId="4">'AMC'!$A$36:$M$70</definedName>
    <definedName name="FMT20" localSheetId="0">'CU FORMAT 10 &amp; 70'!#REF!</definedName>
    <definedName name="FMT20" localSheetId="3">'DDC'!$A$36:$M$70</definedName>
    <definedName name="FMT20" localSheetId="5">'SYSTEM'!$A$36:$M$70</definedName>
    <definedName name="FMT20" localSheetId="1">'UCB'!$A$35:$M$71</definedName>
    <definedName name="FMT20" localSheetId="2">'UCCS'!$A$36:$M$70</definedName>
    <definedName name="FMT20">#REF!</definedName>
    <definedName name="FMT2000" localSheetId="4">'AMC'!$A$835:$M$867</definedName>
    <definedName name="FMT2000" localSheetId="0">'CU FORMAT 10 &amp; 70'!#REF!</definedName>
    <definedName name="FMT2000" localSheetId="3">'DDC'!$A$836:$M$868</definedName>
    <definedName name="FMT2000" localSheetId="5">'SYSTEM'!$A$258:$M$290</definedName>
    <definedName name="FMT2000" localSheetId="1">'UCB'!$A$843:$M$875</definedName>
    <definedName name="FMT2000" localSheetId="2">'UCCS'!$A$821:$M$853</definedName>
    <definedName name="FMT2000">#REF!</definedName>
    <definedName name="FMT30" localSheetId="4">'AMC'!#REF!</definedName>
    <definedName name="FMT30" localSheetId="0">'CU FORMAT 10 &amp; 70'!#REF!</definedName>
    <definedName name="FMT30" localSheetId="3">'DDC'!#REF!</definedName>
    <definedName name="FMT30" localSheetId="5">'SYSTEM'!#REF!</definedName>
    <definedName name="FMT30" localSheetId="1">'UCB'!#REF!</definedName>
    <definedName name="FMT30" localSheetId="2">'UCCS'!#REF!</definedName>
    <definedName name="FMT30">#REF!</definedName>
    <definedName name="FMT35NR" localSheetId="4">'AMC'!#REF!</definedName>
    <definedName name="FMT35NR" localSheetId="0">'CU FORMAT 10 &amp; 70'!#REF!</definedName>
    <definedName name="FMT35NR" localSheetId="3">'DDC'!#REF!</definedName>
    <definedName name="FMT35NR" localSheetId="5">'SYSTEM'!#REF!</definedName>
    <definedName name="FMT35NR" localSheetId="1">'UCB'!#REF!</definedName>
    <definedName name="FMT35NR" localSheetId="2">'UCCS'!#REF!</definedName>
    <definedName name="FMT35NR">#REF!</definedName>
    <definedName name="FMT35R" localSheetId="4">'AMC'!#REF!</definedName>
    <definedName name="FMT35R" localSheetId="0">'CU FORMAT 10 &amp; 70'!#REF!</definedName>
    <definedName name="FMT35R" localSheetId="3">'DDC'!#REF!</definedName>
    <definedName name="FMT35R" localSheetId="5">'SYSTEM'!#REF!</definedName>
    <definedName name="FMT35R" localSheetId="1">'UCB'!#REF!</definedName>
    <definedName name="FMT35R" localSheetId="2">'UCCS'!#REF!</definedName>
    <definedName name="FMT35R">#REF!</definedName>
    <definedName name="FMT410" localSheetId="4">'AMC'!#REF!</definedName>
    <definedName name="FMT410" localSheetId="0">'CU FORMAT 10 &amp; 70'!#REF!</definedName>
    <definedName name="FMT410" localSheetId="3">'DDC'!#REF!</definedName>
    <definedName name="FMT410" localSheetId="5">'SYSTEM'!#REF!</definedName>
    <definedName name="FMT410" localSheetId="1">'UCB'!#REF!</definedName>
    <definedName name="FMT410" localSheetId="2">'UCCS'!#REF!</definedName>
    <definedName name="FMT410">#REF!</definedName>
    <definedName name="FMT411" localSheetId="4">'AMC'!#REF!</definedName>
    <definedName name="FMT411" localSheetId="0">'CU FORMAT 10 &amp; 70'!#REF!</definedName>
    <definedName name="FMT411" localSheetId="3">'DDC'!#REF!</definedName>
    <definedName name="FMT411" localSheetId="5">'SYSTEM'!#REF!</definedName>
    <definedName name="FMT411" localSheetId="1">'UCB'!#REF!</definedName>
    <definedName name="FMT411" localSheetId="2">'UCCS'!#REF!</definedName>
    <definedName name="FMT411">#REF!</definedName>
    <definedName name="FMT600" localSheetId="4">'AMC'!#REF!</definedName>
    <definedName name="FMT600" localSheetId="0">'CU FORMAT 10 &amp; 70'!#REF!</definedName>
    <definedName name="FMT600" localSheetId="3">'DDC'!#REF!</definedName>
    <definedName name="FMT600" localSheetId="5">'SYSTEM'!#REF!</definedName>
    <definedName name="FMT600" localSheetId="1">'UCB'!#REF!</definedName>
    <definedName name="FMT600" localSheetId="2">'UCCS'!#REF!</definedName>
    <definedName name="FMT600">#REF!</definedName>
    <definedName name="FMT9100" localSheetId="4">'AMC'!#REF!</definedName>
    <definedName name="FMT9100" localSheetId="0">'CU FORMAT 10 &amp; 70'!#REF!</definedName>
    <definedName name="FMT9100" localSheetId="3">'DDC'!#REF!</definedName>
    <definedName name="FMT9100" localSheetId="5">'SYSTEM'!#REF!</definedName>
    <definedName name="FMT9100" localSheetId="1">'UCB'!#REF!</definedName>
    <definedName name="FMT9100" localSheetId="2">'UCCS'!#REF!</definedName>
    <definedName name="FMT9100">#REF!</definedName>
    <definedName name="FMT9999" localSheetId="4">'AMC'!#REF!</definedName>
    <definedName name="FMT9999" localSheetId="0">'CU FORMAT 10 &amp; 70'!#REF!</definedName>
    <definedName name="FMT9999" localSheetId="3">'DDC'!#REF!</definedName>
    <definedName name="FMT9999" localSheetId="5">'SYSTEM'!#REF!</definedName>
    <definedName name="FMT9999" localSheetId="1">'UCB'!#REF!</definedName>
    <definedName name="FMT9999" localSheetId="2">'UCCS'!#REF!</definedName>
    <definedName name="FMT9999">#REF!</definedName>
    <definedName name="OLE_LINK1" localSheetId="4">'AMC'!#REF!</definedName>
    <definedName name="OLE_LINK1" localSheetId="0">'CU FORMAT 10 &amp; 70'!#REF!</definedName>
    <definedName name="OLE_LINK1" localSheetId="3">'DDC'!#REF!</definedName>
    <definedName name="OLE_LINK1" localSheetId="5">'SYSTEM'!#REF!</definedName>
    <definedName name="OLE_LINK1" localSheetId="2">'UCCS'!#REF!</definedName>
    <definedName name="_xlnm.Print_Area" localSheetId="4">'AMC'!$A$1:$M$907</definedName>
    <definedName name="_xlnm.Print_Area" localSheetId="3">'DDC'!$A$1:$M$908</definedName>
    <definedName name="_xlnm.Print_Area" localSheetId="5">'SYSTEM'!$A$1:$M$291</definedName>
    <definedName name="_xlnm.Print_Area" localSheetId="1">'UCB'!$A$1:$M$955</definedName>
    <definedName name="_xlnm.Print_Area" localSheetId="2">'UCCS'!$A$1:$M$893</definedName>
    <definedName name="Print_Area_MI" localSheetId="4">'AMC'!#REF!</definedName>
    <definedName name="Print_Area_MI" localSheetId="0">'CU FORMAT 10 &amp; 70'!#REF!</definedName>
    <definedName name="Print_Area_MI" localSheetId="3">'DDC'!#REF!</definedName>
    <definedName name="Print_Area_MI" localSheetId="5">'SYSTEM'!#REF!</definedName>
    <definedName name="Print_Area_MI" localSheetId="1">'UCB'!#REF!</definedName>
    <definedName name="Print_Area_MI" localSheetId="2">'UCCS'!#REF!</definedName>
  </definedNames>
  <calcPr fullCalcOnLoad="1"/>
</workbook>
</file>

<file path=xl/comments2.xml><?xml version="1.0" encoding="utf-8"?>
<comments xmlns="http://schemas.openxmlformats.org/spreadsheetml/2006/main">
  <authors>
    <author>Wendy Fuchs</author>
  </authors>
  <commentList>
    <comment ref="M143" authorId="0">
      <text>
        <r>
          <rPr>
            <b/>
            <sz val="11"/>
            <rFont val="Tahoma"/>
            <family val="2"/>
          </rPr>
          <t>Wendy Fuchs: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FY09 2nd and 3rd year Law rates averaged to compare with FY08 Law continuing rate</t>
        </r>
      </text>
    </comment>
    <comment ref="M135" authorId="0">
      <text>
        <r>
          <rPr>
            <b/>
            <sz val="11"/>
            <rFont val="Tahoma"/>
            <family val="2"/>
          </rPr>
          <t>Wendy Fuchs: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FY09 1st and 2nd yr MBA rates averaged to compare with single FY08 rate</t>
        </r>
      </text>
    </comment>
    <comment ref="M173" authorId="0">
      <text>
        <r>
          <rPr>
            <b/>
            <sz val="11"/>
            <rFont val="Tahoma"/>
            <family val="2"/>
          </rPr>
          <t>Wendy Fuchs: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separate MBA rate effective FY09; not compared with FY08 Business/MBA rate</t>
        </r>
      </text>
    </comment>
  </commentList>
</comments>
</file>

<file path=xl/sharedStrings.xml><?xml version="1.0" encoding="utf-8"?>
<sst xmlns="http://schemas.openxmlformats.org/spreadsheetml/2006/main" count="6438" uniqueCount="689">
  <si>
    <t xml:space="preserve"> </t>
  </si>
  <si>
    <t>-</t>
  </si>
  <si>
    <t>Ln</t>
  </si>
  <si>
    <t>Functional Expenditure</t>
  </si>
  <si>
    <t>No</t>
  </si>
  <si>
    <t xml:space="preserve">Summary  </t>
  </si>
  <si>
    <t xml:space="preserve">FTE </t>
  </si>
  <si>
    <t>Actual</t>
  </si>
  <si>
    <t>Estimate</t>
  </si>
  <si>
    <t>Instruction</t>
  </si>
  <si>
    <t>Research (State Supported)</t>
  </si>
  <si>
    <t>Public Service</t>
  </si>
  <si>
    <t>Academic Support</t>
  </si>
  <si>
    <t>Student Services</t>
  </si>
  <si>
    <t>Institutional Support</t>
  </si>
  <si>
    <t>Scholarships &amp; Fellowships</t>
  </si>
  <si>
    <t>Transfers</t>
  </si>
  <si>
    <t>SOURCE OF FUNDS (Fund Number)</t>
  </si>
  <si>
    <t>Format   20</t>
  </si>
  <si>
    <t>INSTITUTION SUMMARY</t>
  </si>
  <si>
    <t xml:space="preserve"> Object</t>
  </si>
  <si>
    <t>FTE</t>
  </si>
  <si>
    <t>Format 1100</t>
  </si>
  <si>
    <t xml:space="preserve">  Subtotal Exempt Staff</t>
  </si>
  <si>
    <t>Compensation, Support Assistants</t>
  </si>
  <si>
    <t>Salaries, Classified Staff</t>
  </si>
  <si>
    <t>Benefits, Classified Staff</t>
  </si>
  <si>
    <t xml:space="preserve">  Subtotal Support Staff</t>
  </si>
  <si>
    <t>Total Personnel</t>
  </si>
  <si>
    <t>Hourly Compensation</t>
  </si>
  <si>
    <t>Travel</t>
  </si>
  <si>
    <t>Other Current Expense</t>
  </si>
  <si>
    <t xml:space="preserve">Capital </t>
  </si>
  <si>
    <t>Format 1200</t>
  </si>
  <si>
    <t>Compensation, Research Assistants</t>
  </si>
  <si>
    <t>Format 1300</t>
  </si>
  <si>
    <t>Salaries, Exempt</t>
  </si>
  <si>
    <t>Benefits, Exempt</t>
  </si>
  <si>
    <t>Hourly Compensation/Other Support Assistants</t>
  </si>
  <si>
    <t>Format 1400</t>
  </si>
  <si>
    <t>Learning Materials</t>
  </si>
  <si>
    <t>Format 1500</t>
  </si>
  <si>
    <t>AHEC</t>
  </si>
  <si>
    <t>Format 1600</t>
  </si>
  <si>
    <t>Format 1700</t>
  </si>
  <si>
    <t>Utilities</t>
  </si>
  <si>
    <t>Rentals</t>
  </si>
  <si>
    <t>GROSS SQUARE FEET MAINTAINED (Appropriated)</t>
  </si>
  <si>
    <t>At Beginning of Year</t>
  </si>
  <si>
    <t>Gross Sq. Ft. Added During Year (List)</t>
  </si>
  <si>
    <t>Gross Sq. Ft. Eliminated During Year (List)</t>
  </si>
  <si>
    <t>Average Gross Sq. Ft. Maintained</t>
  </si>
  <si>
    <t>Acres Maintained by Grounds Staff</t>
  </si>
  <si>
    <t>Format 1800</t>
  </si>
  <si>
    <t>Scholarships and Fellowships</t>
  </si>
  <si>
    <t>Format 1900</t>
  </si>
  <si>
    <t>Format 2000</t>
  </si>
  <si>
    <t>TRANSFERS (TO) FROM CURRENT UNRESTRICTED EDUCATION &amp; GENERAL FUNDS</t>
  </si>
  <si>
    <t>Mandatory Transfers:</t>
  </si>
  <si>
    <t xml:space="preserve">Operation &amp; Maintenance of Plant </t>
  </si>
  <si>
    <t>Format  100</t>
  </si>
  <si>
    <t>SUMMER</t>
  </si>
  <si>
    <t xml:space="preserve">  Resident</t>
  </si>
  <si>
    <t xml:space="preserve">  Nonresident</t>
  </si>
  <si>
    <t xml:space="preserve">  Subtotal Summer</t>
  </si>
  <si>
    <t>FALL</t>
  </si>
  <si>
    <t xml:space="preserve">  Subtotal Fall</t>
  </si>
  <si>
    <t>WINTER</t>
  </si>
  <si>
    <t xml:space="preserve">  Subtotal Winter</t>
  </si>
  <si>
    <t>SPRING</t>
  </si>
  <si>
    <t xml:space="preserve">  Subtotal Spring</t>
  </si>
  <si>
    <t>SUBTOTAL</t>
  </si>
  <si>
    <t>SUBTOTAL RESIDENT</t>
  </si>
  <si>
    <t>SUBTOTAL NONRESIDENT</t>
  </si>
  <si>
    <t>SUBTOTAL GRADUATE</t>
  </si>
  <si>
    <t>TOTAL NONEXEMPT TUITION REVENUE</t>
  </si>
  <si>
    <t>Format  410</t>
  </si>
  <si>
    <t>Total Operating Revenues</t>
  </si>
  <si>
    <t>Format  411</t>
  </si>
  <si>
    <t>Indirect Cost Recoveries</t>
  </si>
  <si>
    <t>Miscellaneous Revenues</t>
  </si>
  <si>
    <t>Investment Income</t>
  </si>
  <si>
    <t>Format  600</t>
  </si>
  <si>
    <t>TOTAL OTHER STATE APPROPRIATED UNRESTRICTED E &amp; G REVENUES</t>
  </si>
  <si>
    <t>Non State Appropriated Unrestricted Education &amp; General Revenues (Itemize)</t>
  </si>
  <si>
    <t>Total Non State Appropriated Unrestricted Education &amp; General Revenues</t>
  </si>
  <si>
    <t>TOTAL NON STATE APPROPRIATED UNRESTRICTED E &amp; G REVENUES</t>
  </si>
  <si>
    <t>Subtotal Mandatory Transfers:</t>
  </si>
  <si>
    <t>EDUCATION &amp; GENERAL FUNDS 310 and 311</t>
  </si>
  <si>
    <t>Fmt. 2000 Ln 20</t>
  </si>
  <si>
    <t>Hospitals</t>
  </si>
  <si>
    <t>Scholarship Allowance related to Unrestricted Education &amp; General Revenue</t>
  </si>
  <si>
    <t>State Capital</t>
  </si>
  <si>
    <t>Cash Funds</t>
  </si>
  <si>
    <t>Const. Fund</t>
  </si>
  <si>
    <t>Exempt</t>
  </si>
  <si>
    <t>CAPITAL CONSTRUCTION</t>
  </si>
  <si>
    <t>CONTROLLED MAINTENANCE</t>
  </si>
  <si>
    <t>TOTAL APPROPRIATIONS</t>
  </si>
  <si>
    <t>Format 9200</t>
  </si>
  <si>
    <t>State Project Number,  Project Name</t>
  </si>
  <si>
    <t>Prior Appropriations</t>
  </si>
  <si>
    <t>Bill Number</t>
  </si>
  <si>
    <t>by Bill Number</t>
  </si>
  <si>
    <t>Auraria Library</t>
  </si>
  <si>
    <t>Total Non-Operating Revenues</t>
  </si>
  <si>
    <t>Fmt. 1100 Ln 25</t>
  </si>
  <si>
    <t>Fmt. 1200 Ln 25</t>
  </si>
  <si>
    <t>Fmt. 1300 Ln 25</t>
  </si>
  <si>
    <t>Fmt. 1400 Ln 25</t>
  </si>
  <si>
    <t>Fmt. 1500 Ln 25</t>
  </si>
  <si>
    <t>Fmt. 1600 Ln 25</t>
  </si>
  <si>
    <t>Fmt. 1700 Ln 25</t>
  </si>
  <si>
    <t>Fmt. 1800 Ln 25</t>
  </si>
  <si>
    <t>Fmt. 1900 Ln 25</t>
  </si>
  <si>
    <t>Governing Board Summary</t>
  </si>
  <si>
    <t>Format   10</t>
  </si>
  <si>
    <t>Format   30</t>
  </si>
  <si>
    <t>STUDENT, FACULTY, AND  STAFF DATA</t>
  </si>
  <si>
    <t>STUDENT FTE DATA</t>
  </si>
  <si>
    <t xml:space="preserve">  Resident Graduate FTE</t>
  </si>
  <si>
    <t xml:space="preserve">  Total Resident FTE </t>
  </si>
  <si>
    <t xml:space="preserve">  Nonresident Undergraduate FTE</t>
  </si>
  <si>
    <t xml:space="preserve">  Nonresident Graduate FTE</t>
  </si>
  <si>
    <t xml:space="preserve">  Total Nonresident FTE </t>
  </si>
  <si>
    <t xml:space="preserve">  Total FTE Undergraduate</t>
  </si>
  <si>
    <t xml:space="preserve">  Total FTE Graduate</t>
  </si>
  <si>
    <t xml:space="preserve">  Total FTE Students</t>
  </si>
  <si>
    <t>COST PER STUDENT</t>
  </si>
  <si>
    <t>INSTRUCTIONAL FACULTY DATA (SOURCE FMT 40 OR FMT 1100)</t>
  </si>
  <si>
    <t xml:space="preserve">  Faculty FTE Total</t>
  </si>
  <si>
    <t xml:space="preserve">  FTE Full-time Faculty</t>
  </si>
  <si>
    <t xml:space="preserve">  FTE Part-time Faculty</t>
  </si>
  <si>
    <t>AVG COMPENSATION INSTRUCTIONAL FACULTY</t>
  </si>
  <si>
    <t xml:space="preserve">  All Faculty Combined</t>
  </si>
  <si>
    <t xml:space="preserve">  Full-time Average Compensation</t>
  </si>
  <si>
    <t xml:space="preserve">  Part-time Average Compensation</t>
  </si>
  <si>
    <t>Total Faculty and Staff FTE  (Format 20)</t>
  </si>
  <si>
    <t>Format   35R</t>
  </si>
  <si>
    <t>UNDERGRADUATE</t>
  </si>
  <si>
    <t xml:space="preserve">     General</t>
  </si>
  <si>
    <t xml:space="preserve">     Differential Rates (List below)</t>
  </si>
  <si>
    <t>GRADUATE</t>
  </si>
  <si>
    <t>PROFESSIONAL</t>
  </si>
  <si>
    <t>Format   35NR</t>
  </si>
  <si>
    <t>NON-RESIDENT FULL-TIME (15 HOUR) TUITION RATES PER ACADEMIC YEAR</t>
  </si>
  <si>
    <t>Budget Data Book</t>
  </si>
  <si>
    <t>Format 1</t>
  </si>
  <si>
    <t>UNRESTRICTED EDUCATION &amp; GENERAL - INSTRUCTION</t>
  </si>
  <si>
    <t>UNRESTRICTED EDUCATION &amp; GENERAL - RESEARCH</t>
  </si>
  <si>
    <t>UNRESTRICTED EDUCATION &amp; GENERAL - PUBLIC SERVICE</t>
  </si>
  <si>
    <t>UNRESTRICTED EDUCATION &amp; GENERAL - ACADEMIC SUPPORT</t>
  </si>
  <si>
    <t>UNRESTRICTED EDUCATION &amp; GENERAL - STUDENT SERVICES</t>
  </si>
  <si>
    <t>UNRESTRICTED EDUCATION &amp; GENERAL - INSTITUTIONAL SUPPORT</t>
  </si>
  <si>
    <t>UNRESTRICTED EDUCATION &amp; GENERAL - OPERATION &amp; MAINTENANCE OF PLANT</t>
  </si>
  <si>
    <t>UNRESTRICTED EDUCATION &amp; GENERAL - SCHOLARSHIPS &amp; FELLOWSHIPS</t>
  </si>
  <si>
    <t>UNRESTRICTED EDUCATION &amp; GENERAL -  HOSPITALS</t>
  </si>
  <si>
    <t>APPROPRIATED CAPITAL CONSTRUCTION AND CONTROLLED MAINTENANCE</t>
  </si>
  <si>
    <t>Non-mandatory Transfers:</t>
  </si>
  <si>
    <t>Subtotal Non-mandatory Transfers:</t>
  </si>
  <si>
    <t>Total Tuition</t>
  </si>
  <si>
    <t>RESIDENT FULL-TIME (15 HOUR) STUDENT SHARE TUITION RATES PER ACADEMIC YEAR</t>
  </si>
  <si>
    <t xml:space="preserve">     The Student Share Tuition Assumes Student Eligibility For The Stipend.</t>
  </si>
  <si>
    <t>Format   40</t>
  </si>
  <si>
    <t>SUMMARY</t>
  </si>
  <si>
    <t>ACTUAL</t>
  </si>
  <si>
    <t>S/F</t>
  </si>
  <si>
    <t>COURSE LEVEL</t>
  </si>
  <si>
    <t>STUDENTS</t>
  </si>
  <si>
    <t>FACULTY</t>
  </si>
  <si>
    <t>RATIO</t>
  </si>
  <si>
    <t>Vocational</t>
  </si>
  <si>
    <t>Lower Level</t>
  </si>
  <si>
    <t>Upper Level</t>
  </si>
  <si>
    <t xml:space="preserve">     Total Undergraduate</t>
  </si>
  <si>
    <t>Graduate I</t>
  </si>
  <si>
    <t>Graduate II</t>
  </si>
  <si>
    <t xml:space="preserve">     Total Graduate</t>
  </si>
  <si>
    <t>Grand Total</t>
  </si>
  <si>
    <t xml:space="preserve">NOTE:  Institutions are required to maintain detailed information on the above data by Classification of Instructional Program (CIP) area.  </t>
  </si>
  <si>
    <t xml:space="preserve">            Detailed data available upon request.</t>
  </si>
  <si>
    <t>Date: 10/01/05</t>
  </si>
  <si>
    <t>Est</t>
  </si>
  <si>
    <t>Non-Resident Tuition</t>
  </si>
  <si>
    <t>Other Restrictions of General Fund / Revenue</t>
  </si>
  <si>
    <t>TOTAL APPROPRIATION REVENUES</t>
  </si>
  <si>
    <t>Format  700</t>
  </si>
  <si>
    <t>Subtotal Appropriated Unrestricted E &amp; G Program Code 11XX</t>
  </si>
  <si>
    <t>Total E&amp;G Cost Per FTE Student</t>
  </si>
  <si>
    <t>Rollforward to Future Year (includes $ for comp. Absences)</t>
  </si>
  <si>
    <t>Rollforward from Prior Year</t>
  </si>
  <si>
    <t xml:space="preserve">  Educational services in rural areas or communities in which the cost of delivering</t>
  </si>
  <si>
    <t xml:space="preserve">  the educational services is not sustained by the amount received in student tuition</t>
  </si>
  <si>
    <t xml:space="preserve">  Reciprocal </t>
  </si>
  <si>
    <t xml:space="preserve">  Graduate school services</t>
  </si>
  <si>
    <t xml:space="preserve">  Economic development</t>
  </si>
  <si>
    <t xml:space="preserve">  Specialized educational services and professional degrees, including but not limited</t>
  </si>
  <si>
    <t xml:space="preserve">  to the areas of dentistry, medicine, veterinary medicine, nursing, law, forestry</t>
  </si>
  <si>
    <t xml:space="preserve">  and engineering</t>
  </si>
  <si>
    <t>Non State Exempt Appropriated Unrestricted E &amp; G Program Code 11XX</t>
  </si>
  <si>
    <t>* This is not needed by institution, but only in total for the system.</t>
  </si>
  <si>
    <t>Contracts</t>
  </si>
  <si>
    <t>Total</t>
  </si>
  <si>
    <t>--------------------------------------------------------------------------------------------------------------------------------------------------</t>
  </si>
  <si>
    <t>-------------------------------------------------------</t>
  </si>
  <si>
    <t>State Appropriation</t>
  </si>
  <si>
    <t>FFS Contracts</t>
  </si>
  <si>
    <t>2A</t>
  </si>
  <si>
    <t>2B</t>
  </si>
  <si>
    <t>2C</t>
  </si>
  <si>
    <t>COF Resident Undergraduate FTE</t>
  </si>
  <si>
    <t>Non-COF Resident Undergraduate FTE</t>
  </si>
  <si>
    <t>Total Resident Undergraduate FTE</t>
  </si>
  <si>
    <t>TOTAL TUITION REVENUE and STUDENT FTE</t>
  </si>
  <si>
    <t>Total Tuition Includes Stipend Reimbursement</t>
  </si>
  <si>
    <t>Rents</t>
  </si>
  <si>
    <t>STATE SUPPORT</t>
  </si>
  <si>
    <t>Insurance (Property and Liability)</t>
  </si>
  <si>
    <t>SUBTOTAL UNDERGRADUATE</t>
  </si>
  <si>
    <t>Compensation, Part-Time Exempt</t>
  </si>
  <si>
    <t>Other State Appropriated Nonexempt Unrestricted E&amp;G</t>
  </si>
  <si>
    <t>Format  412</t>
  </si>
  <si>
    <t xml:space="preserve">     Revenues Generated from Fees</t>
  </si>
  <si>
    <t xml:space="preserve">     Amount of Fee per Full-Time Student</t>
  </si>
  <si>
    <t>Undergraduate Resident Tuition "Student Share"</t>
  </si>
  <si>
    <t>Undergraduate Resident Tuition "Stipend"</t>
  </si>
  <si>
    <t>Subtotal Undergraduate Tuition</t>
  </si>
  <si>
    <t>Graduate Resident Tuition</t>
  </si>
  <si>
    <t>Fmt. 600 Ln 25</t>
  </si>
  <si>
    <t>Fmt. 700 Ln 1</t>
  </si>
  <si>
    <t>Other Mandatory Fees</t>
  </si>
  <si>
    <t>Mandatory Registration and Course Fees</t>
  </si>
  <si>
    <r>
      <t xml:space="preserve">TOTAL </t>
    </r>
    <r>
      <rPr>
        <b/>
        <sz val="9"/>
        <rFont val="Times New Roman"/>
        <family val="1"/>
      </rPr>
      <t xml:space="preserve">UNRESTRICTED </t>
    </r>
    <r>
      <rPr>
        <sz val="9"/>
        <rFont val="Times New Roman"/>
        <family val="1"/>
      </rPr>
      <t>EDUCATION &amp; GENERAL EXPENDITURES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</si>
  <si>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EDUCATION &amp; GENERAL REVENUE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</si>
  <si>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INSTRUCTION 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</si>
  <si>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RESEARCH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</si>
  <si>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PUBLIC SERVICE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</si>
  <si>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ACADEMIC SUPPORT</t>
    </r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</si>
  <si>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EDUCATION &amp; GENERAL</t>
    </r>
    <r>
      <rPr>
        <sz val="9"/>
        <rFont val="Times New Roman"/>
        <family val="1"/>
      </rPr>
      <t xml:space="preserve"> STUDENT SERVICES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</si>
  <si>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INSTITUTIONAL SUPPORT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</si>
  <si>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SCHOLARSHIPS &amp; FELLOWSHIPS</t>
    </r>
  </si>
  <si>
    <r>
      <t xml:space="preserve">TOTAL </t>
    </r>
    <r>
      <rPr>
        <b/>
        <sz val="9"/>
        <rFont val="Times New Roman"/>
        <family val="1"/>
      </rPr>
      <t>UNRESTRICTED EDUCATION &amp; GENERAL</t>
    </r>
    <r>
      <rPr>
        <sz val="9"/>
        <rFont val="Times New Roman"/>
        <family val="1"/>
      </rPr>
      <t xml:space="preserve"> AUXILIARIES</t>
    </r>
  </si>
  <si>
    <r>
      <t xml:space="preserve">TOTAL TRANSFERS </t>
    </r>
    <r>
      <rPr>
        <b/>
        <sz val="9"/>
        <rFont val="Times New Roman"/>
        <family val="1"/>
      </rPr>
      <t>(TO) FROM FUNDS CURRENT UNRESTRICTED</t>
    </r>
  </si>
  <si>
    <r>
      <t xml:space="preserve">TOTAL </t>
    </r>
    <r>
      <rPr>
        <b/>
        <sz val="8"/>
        <rFont val="Times New Roman"/>
        <family val="1"/>
      </rPr>
      <t>UNRESTRICTED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EDUCATION &amp; GENERAL</t>
    </r>
    <r>
      <rPr>
        <sz val="8"/>
        <rFont val="Times New Roman"/>
        <family val="1"/>
      </rPr>
      <t xml:space="preserve"> OPERATION &amp; MAINT /of PLANT</t>
    </r>
  </si>
  <si>
    <t>rounding</t>
  </si>
  <si>
    <t>Fmt. 410 Ln 20</t>
  </si>
  <si>
    <t>Fmt. 100</t>
  </si>
  <si>
    <t>Fmt. 411 Ln 20</t>
  </si>
  <si>
    <t xml:space="preserve">NAME: </t>
  </si>
  <si>
    <t>2006-07</t>
  </si>
  <si>
    <t>COF Stipend Per Undergraduate Resident FTE (05-06 and Forward)</t>
  </si>
  <si>
    <t>2007-08</t>
  </si>
  <si>
    <t>FY 2008 Appropriation</t>
  </si>
  <si>
    <t>Fee-For-Service Contracts (Institutional Level Only)</t>
  </si>
  <si>
    <t>Format  070</t>
  </si>
  <si>
    <t>Date: 10/1/2008</t>
  </si>
  <si>
    <t xml:space="preserve">               Actual Fiscal Years 2006-2007 and 2007-08</t>
  </si>
  <si>
    <t xml:space="preserve">               Estimate Fiscal Year 2008-09</t>
  </si>
  <si>
    <t>Submitted: October 1, 2008</t>
  </si>
  <si>
    <t>2008 -09</t>
  </si>
  <si>
    <t>2008-09</t>
  </si>
  <si>
    <t>Fee-For-Service Contracts (System Level Only)*</t>
  </si>
  <si>
    <t xml:space="preserve">* The Colorado Legislature Changed the Funding Mechanism For Resident Undergraduate Students Providing  A Stipend To Eligible and Authorized Students To Offset Total Tuition.  Total Tuition Calculated By Adding Stipend Amount Per Credit Hour for Student's Share of Tuition.    </t>
  </si>
  <si>
    <t>Graduate (4801)</t>
  </si>
  <si>
    <t>Undergraduate (4802)</t>
  </si>
  <si>
    <t>Graduate (4901)</t>
  </si>
  <si>
    <t>Undergraduate (4902)</t>
  </si>
  <si>
    <t>2008-09]</t>
  </si>
  <si>
    <t>Contracts (Actuals/Final Billing)</t>
  </si>
  <si>
    <t>FY 2009 Appropriation</t>
  </si>
  <si>
    <t>Rollforward to Future Year (includes$ for comp. absences)</t>
  </si>
  <si>
    <t>Incidental Income - Educational Activities</t>
  </si>
  <si>
    <t>Instructional Fees/Course Fees</t>
  </si>
  <si>
    <t>Student Activity Fees</t>
  </si>
  <si>
    <t>State Grants and Contracts (not FFS)</t>
  </si>
  <si>
    <t>Miscellaneous Non-Operating Income</t>
  </si>
  <si>
    <t>(E&amp;G COFRS Program Code 1100)</t>
  </si>
  <si>
    <t>Capital</t>
  </si>
  <si>
    <t>Scholarship Allowance related to Education and General  (COFRS Program Code 1100)</t>
  </si>
  <si>
    <t>APPROPRIATED EDUCATION &amp; GENERAL FEES (Program Code 1100)</t>
  </si>
  <si>
    <t>Appropriated Academic Fees ( RSC 5002)</t>
  </si>
  <si>
    <t>COFRS Revenue Source Code (RSC):</t>
  </si>
  <si>
    <t>NON STATE APPROPRIATED EDUCATION &amp; GENERAL REVENUES (Balance of Program Code 1100)</t>
  </si>
  <si>
    <t>NON EDUCATION &amp; GENERAL APPROPRIATED FEES (Program Code 1900)</t>
  </si>
  <si>
    <t>Appropriated Facility Fees for the Construction of Academic Facilities (RSC 5007)</t>
  </si>
  <si>
    <t>Other Appropriated Fees (RSC 5002 not already reported on Format 411)</t>
  </si>
  <si>
    <t>FY 2007Appropriation</t>
  </si>
  <si>
    <t>HB 08-1375</t>
  </si>
  <si>
    <t>HB 06-1385</t>
  </si>
  <si>
    <t>SB 07-239</t>
  </si>
  <si>
    <t>FY 20067Appropriation</t>
  </si>
  <si>
    <t xml:space="preserve">Institution No.:  GFB </t>
  </si>
  <si>
    <t>NAME:  University of Colorado -  Boulder</t>
  </si>
  <si>
    <t>Date:  10/01/2008</t>
  </si>
  <si>
    <t>Fmt 1100 Ln 25</t>
  </si>
  <si>
    <t>Fmt 1200 Ln 25</t>
  </si>
  <si>
    <t>Fmt 1300 Ln 25</t>
  </si>
  <si>
    <t>Fmt 1400 Ln 25</t>
  </si>
  <si>
    <t>Fmt 1500 Ln 25</t>
  </si>
  <si>
    <t>Fmt 1600 Ln 25</t>
  </si>
  <si>
    <t>Fmt 1700 Ln 25</t>
  </si>
  <si>
    <t>Student Financial Aid</t>
  </si>
  <si>
    <t>Fmt 1800 Ln 25</t>
  </si>
  <si>
    <t>Fmt 1900 Ln 25</t>
  </si>
  <si>
    <t>Fmt 2000 Ln 20</t>
  </si>
  <si>
    <t>SOURCE OF FUNDS (Fmt Number)</t>
  </si>
  <si>
    <t>Fmt  600 Ln 25</t>
  </si>
  <si>
    <t>Fmt  700 Ln 25</t>
  </si>
  <si>
    <t xml:space="preserve"> Fmt  600 Ln 2-4</t>
  </si>
  <si>
    <t>Subtotal Undergraduate Resident Tuition</t>
  </si>
  <si>
    <t>Fmt  100 Ln 27</t>
  </si>
  <si>
    <t>Fmt  100 Ln 26</t>
  </si>
  <si>
    <t>Nonresident Tuition</t>
  </si>
  <si>
    <t>Fmt  100 Ln 32</t>
  </si>
  <si>
    <t>Fmt  100 Ln 35</t>
  </si>
  <si>
    <t>Other State Approp Nonexempt Unrestr E&amp;G Revenue</t>
  </si>
  <si>
    <t>Fmt  410 Ln 20</t>
  </si>
  <si>
    <t>Subtotal Appropriated Unrestricted E&amp;G Revenue</t>
  </si>
  <si>
    <t>Non-State Approp Exempt Unrestricted E&amp;G Revenue</t>
  </si>
  <si>
    <t>Fmt  411 Ln 20</t>
  </si>
  <si>
    <t>Institution No.:  GFB</t>
  </si>
  <si>
    <t>STUDENT, FACULTY, &amp;  STAFF DATA</t>
  </si>
  <si>
    <t>2a</t>
  </si>
  <si>
    <t xml:space="preserve">  COF Resident Undergraduate FTE (assumes 100% participation)</t>
  </si>
  <si>
    <t>2b</t>
  </si>
  <si>
    <t xml:space="preserve">  Non-COF Resident Undergraduate FTE</t>
  </si>
  <si>
    <t>2c</t>
  </si>
  <si>
    <t xml:space="preserve">  Total Resident Undergraduate FTE</t>
  </si>
  <si>
    <t xml:space="preserve">  Total E&amp;G Cost Per FTE Student</t>
  </si>
  <si>
    <t xml:space="preserve">  COF Stipend per Undergraduate Resident FTE  (FY2005-06 and forward)</t>
  </si>
  <si>
    <t>INSTRUCTIONAL FACULTY DATA   (source, Fmt 40 and Fmt 1100)</t>
  </si>
  <si>
    <t>Total Faculty and Staff FTE   (Fmt 20)</t>
  </si>
  <si>
    <t>RESIDENT FULL-TIME (15 HOURS) STUDENT SHARE TUITION RATES PER ACADEMIC YEAR *</t>
  </si>
  <si>
    <t>% Change</t>
  </si>
  <si>
    <t xml:space="preserve">UNDERGRADUATE </t>
  </si>
  <si>
    <t xml:space="preserve">          Business</t>
  </si>
  <si>
    <t xml:space="preserve">          Engineering</t>
  </si>
  <si>
    <t xml:space="preserve">          Journalism, Music</t>
  </si>
  <si>
    <t>UNDERGRADUATE mandatory student fees</t>
  </si>
  <si>
    <t xml:space="preserve">          Business - MBA, 1st yr (separate rate effective FY09)</t>
  </si>
  <si>
    <t xml:space="preserve">                       -  MBA, 2nd yr (separate rate effective FY09)</t>
  </si>
  <si>
    <t xml:space="preserve">          Law, incoming (1st yr)</t>
  </si>
  <si>
    <t xml:space="preserve">          Law, continuing (2nd yr)</t>
  </si>
  <si>
    <t xml:space="preserve">          Law, continuing (3rd yr) (separate continuing rate effective FY09)</t>
  </si>
  <si>
    <t>GRADUATE/PROFESSIONAL mandatory student fees</t>
  </si>
  <si>
    <t>NON-RESIDENT FULL-TIME (15 HOURS) TUITION RATES PER ACADEMIC YEAR</t>
  </si>
  <si>
    <t>UNDERGRADUATE  (incoming)</t>
  </si>
  <si>
    <t xml:space="preserve">          Business (includes MBA through FY08)</t>
  </si>
  <si>
    <t xml:space="preserve">          Business - MBA (separate rate effective FY09)</t>
  </si>
  <si>
    <t xml:space="preserve">        Law</t>
  </si>
  <si>
    <t>FACULTY MATRIX SUMMARY</t>
  </si>
  <si>
    <t>NAME:  University of Colorado - Boulder</t>
  </si>
  <si>
    <t xml:space="preserve">Date:  10/01/2008 </t>
  </si>
  <si>
    <t xml:space="preserve">           Detailed data available upon request.</t>
  </si>
  <si>
    <t>TOTAL TUITION REVENUE &amp; STUDENT FTE</t>
  </si>
  <si>
    <t xml:space="preserve">    Resident</t>
  </si>
  <si>
    <t>Graduate</t>
  </si>
  <si>
    <t>Undergraduate</t>
  </si>
  <si>
    <t xml:space="preserve">    Nonresident</t>
  </si>
  <si>
    <t xml:space="preserve">    Subtotal Summer</t>
  </si>
  <si>
    <t xml:space="preserve">    Subtotal Fall</t>
  </si>
  <si>
    <t xml:space="preserve">    Subtotal Winter</t>
  </si>
  <si>
    <t xml:space="preserve">    Subtotal Spring</t>
  </si>
  <si>
    <t>(Format 100 continued on next page)</t>
  </si>
  <si>
    <t>TOTAL TUITION REVENUE &amp; STUDENT FTE, continued</t>
  </si>
  <si>
    <t>TOTAL NONEXEMPT TUITION REVENUE  (E&amp;G COFRS pgm code 11XX)</t>
  </si>
  <si>
    <t xml:space="preserve">Total tuition includes COF stipend </t>
  </si>
  <si>
    <t>Scholarship Allowance related to Nonexempt Current (COFRS pgm code 11XX)</t>
  </si>
  <si>
    <t>OTHER STATE APPROPRIATED EDUCATION &amp; GENERAL REVENUE</t>
  </si>
  <si>
    <t>Appropriated Academic Fees (RSC 5002)</t>
  </si>
  <si>
    <t xml:space="preserve">     Instructional/Course Fees</t>
  </si>
  <si>
    <t>Total Operating Revenue</t>
  </si>
  <si>
    <t xml:space="preserve">     Miscellaneous Income</t>
  </si>
  <si>
    <t>Total Non-Operating Revenue</t>
  </si>
  <si>
    <t>Total Other State Appropriated Unrestricted Education &amp; General Revenue</t>
  </si>
  <si>
    <t>Rollforward to Future Year</t>
  </si>
  <si>
    <t>TOTAL OTHER STATE APPROPRIATED UNRESTRICTED E&amp;G REVENUE</t>
  </si>
  <si>
    <t>NON-STATE APPROPRIATED EDUCATION &amp; GENERAL REVENUE</t>
  </si>
  <si>
    <t>Non-State Appropriated Unrestricted Education &amp; General Revenue (itemize)</t>
  </si>
  <si>
    <t xml:space="preserve">      Facilities &amp; Administrative Reimbursements  (Indirect Cost Recoveries) </t>
  </si>
  <si>
    <t xml:space="preserve">      Miscellaneous Revenue</t>
  </si>
  <si>
    <t xml:space="preserve">      Rental Income</t>
  </si>
  <si>
    <t xml:space="preserve">      Incidental Income - Educational Activities</t>
  </si>
  <si>
    <t xml:space="preserve">      Other Mandatory Fees</t>
  </si>
  <si>
    <t xml:space="preserve">      Mandatory Fees-for-Service (Registration, etc.)</t>
  </si>
  <si>
    <t xml:space="preserve">      Investment Income</t>
  </si>
  <si>
    <t xml:space="preserve">      Miscellaneous Non-Operating Income</t>
  </si>
  <si>
    <t>Total Non-State Appropriated Unrestricted Education &amp; General Revenue</t>
  </si>
  <si>
    <t>Rollforward from Prior Year (exempt E&amp;G revenue)</t>
  </si>
  <si>
    <t>TOTAL NON-STATE APPROPRIATED EDUCATION &amp; GENERAL REVENUE</t>
  </si>
  <si>
    <t>APPROPRIATED DEDICATED STUDENT FEES FOR THE CONSTRUCTION OF FACILITIES</t>
  </si>
  <si>
    <t>Appropriated Facility Fees for Construction of Academic Facilities (RSC 5700)</t>
  </si>
  <si>
    <t>Other Appropriated Fees (RSC 5200, not reported in Format 411) *</t>
  </si>
  <si>
    <t xml:space="preserve">     Revenue Generated from Fees</t>
  </si>
  <si>
    <t xml:space="preserve">     Amount of Fee per Full-Time Student, per Academic Year</t>
  </si>
  <si>
    <t>TOTAL</t>
  </si>
  <si>
    <t>* The student capital fee is budgeted and recorded in exempt auxiliary fund.</t>
  </si>
  <si>
    <t xml:space="preserve"> Date: 10/01/2008</t>
  </si>
  <si>
    <t>Appropriated Colorado Opportunity Fund (COF) Student Stipend</t>
  </si>
  <si>
    <t xml:space="preserve">      HB 06-1385 (COF portion)</t>
  </si>
  <si>
    <t xml:space="preserve">      SB 07-239 (COF portion)</t>
  </si>
  <si>
    <t xml:space="preserve">      HB 08-1375 (COF portion)</t>
  </si>
  <si>
    <t>Supplemental and Special Bills (itemize)</t>
  </si>
  <si>
    <t>Other Restrictions of General Fund Revenue</t>
  </si>
  <si>
    <t>TOTAL APPROPRIATION REVENUE</t>
  </si>
  <si>
    <t xml:space="preserve">FEE-FOR-SERVICE CONTRACTS </t>
  </si>
  <si>
    <t>Contracts  (Fee-For-Service portion)</t>
  </si>
  <si>
    <t>TOTAL FEE-FOR-SERVICE CONTRACTS</t>
  </si>
  <si>
    <t>FTE *</t>
  </si>
  <si>
    <t xml:space="preserve">Salaries, Faculty/Exempt </t>
  </si>
  <si>
    <t>Benefits, Faculty/Exempt</t>
  </si>
  <si>
    <t>Compensation, Part-time Faculty/Exempt</t>
  </si>
  <si>
    <t xml:space="preserve">  Subtotal Faculty/Exempt Staff</t>
  </si>
  <si>
    <t>Hourly Compensation *</t>
  </si>
  <si>
    <t xml:space="preserve">Capital  </t>
  </si>
  <si>
    <t xml:space="preserve">                 </t>
  </si>
  <si>
    <t xml:space="preserve">TOTAL UNRESTRICTED EDUCATION &amp; GENERAL - INSTRUCTION </t>
  </si>
  <si>
    <t xml:space="preserve">* Based on previously maintained budgeted $/FTE by employee group within Formats 1100-1700, incremented by average annual % salary increases.  Reported employee headcount and FTE for total campus </t>
  </si>
  <si>
    <t xml:space="preserve">   available on following web link:  http://www.colorado.edu/pba/facstaff/ .    Hourly Compensation FTE is for informational purposes only; not included in total employee FTE.</t>
  </si>
  <si>
    <t xml:space="preserve">Salaries, Exempt </t>
  </si>
  <si>
    <t xml:space="preserve">                   </t>
  </si>
  <si>
    <t>TOTAL UNRESTRICTED EDUCATION &amp; GENERAL - RESEARCH</t>
  </si>
  <si>
    <t xml:space="preserve">                </t>
  </si>
  <si>
    <t>TOTAL UNRESTRICTED EDUCATION &amp; GENERAL - PUBLIC SERVICE</t>
  </si>
  <si>
    <t>Library Materials (info only, not included in Fmt 1400 total; also see Fmt 2000)</t>
  </si>
  <si>
    <t>TOTAL UNRESTRICTED EDUCATION &amp; GENERAL - ACADEMIC SUPPORT</t>
  </si>
  <si>
    <t>TOTAL UNRESTRICTED EDUCATION &amp; GENERAL -  STUDENT SERVICES</t>
  </si>
  <si>
    <t xml:space="preserve">UNRESTRICTED EDUCATION &amp; GENERAL - INSTITUTIONAL SUPPORT </t>
  </si>
  <si>
    <t xml:space="preserve">                  </t>
  </si>
  <si>
    <t>TOTAL UNRESTRICTED EDUCATION &amp; GENERAL - INSTITUTIONAL SUPPORT</t>
  </si>
  <si>
    <t>TOTAL UNRESTRICTED EDUCATION &amp; GENERAL - OPERATION &amp;</t>
  </si>
  <si>
    <t xml:space="preserve">                                                        MAINTENANCE OF PLANT</t>
  </si>
  <si>
    <t>(Format 1700 continued on next page)</t>
  </si>
  <si>
    <t>UNRESTRICTED EDUCATION &amp; GENERAL - OPERATION &amp; MAINTENANCE OF PLANT, continued</t>
  </si>
  <si>
    <t>Gross Sq Ft Added During Year (list)</t>
  </si>
  <si>
    <t xml:space="preserve">     ATLAS</t>
  </si>
  <si>
    <t xml:space="preserve">     Wolf Law</t>
  </si>
  <si>
    <t xml:space="preserve">     Chancellor's Residence</t>
  </si>
  <si>
    <t xml:space="preserve">     Koelbel Hall Addition/Leeds School of Business</t>
  </si>
  <si>
    <t xml:space="preserve">     Football Practice Bubble</t>
  </si>
  <si>
    <t xml:space="preserve">     Police and Parking Addition</t>
  </si>
  <si>
    <t xml:space="preserve">     Soccer Locker Room</t>
  </si>
  <si>
    <t>Gross Sq Ft Eliminated During Year (list)</t>
  </si>
  <si>
    <t xml:space="preserve">     Hazardous Waste Storage</t>
  </si>
  <si>
    <t xml:space="preserve">     Sibell Wolle Fine Arts</t>
  </si>
  <si>
    <t>Average Gross Sq Ft Maintained</t>
  </si>
  <si>
    <t>UNRESTRICTED EDUCATION &amp; GENERAL - STUDENT FINANCIAL AID</t>
  </si>
  <si>
    <t xml:space="preserve">TOTAL UNRESTRICTED EDUC &amp; GENERAL - STUDENT FINANCIAL AID </t>
  </si>
  <si>
    <t>Amount of Student Financial Aid Offset to Nonexempt Revenues as Scholarship Allowance</t>
  </si>
  <si>
    <t>TOTAL UNRESTRICTED EDUCATION &amp; GENERAL - HOSPITALS</t>
  </si>
  <si>
    <t>TRANSFERS TO/(FROM) CURRENT UNRESTRICTED EDUCATION &amp; GENERAL FUNDS</t>
  </si>
  <si>
    <t>Mandatory Transfers</t>
  </si>
  <si>
    <t>Subtotal Mandatory Transfers</t>
  </si>
  <si>
    <t>Non-mandatory Transfers</t>
  </si>
  <si>
    <t xml:space="preserve">   Fixed Asset Additions</t>
  </si>
  <si>
    <t xml:space="preserve">        Library Materials (informational item only, included in Fixed Assets above)</t>
  </si>
  <si>
    <t>Subtotal Non-mandatory Transfers</t>
  </si>
  <si>
    <t>TOTAL TRANSFERS TO/(FROM) CURRENT UNRESTRICTED</t>
  </si>
  <si>
    <t>APPROPRIATED CAPITAL CONSTRUCTION &amp; CONTROLLED MAINTENANCE</t>
  </si>
  <si>
    <t>FY 2007 Appropriation</t>
  </si>
  <si>
    <t>State Project Name,  Project Number, (UCB acct number)</t>
  </si>
  <si>
    <t>Appropriations</t>
  </si>
  <si>
    <t xml:space="preserve"> Bill Number</t>
  </si>
  <si>
    <t>Constr Fund</t>
  </si>
  <si>
    <t xml:space="preserve">    Leeds Business Renov/Addtn -PO517  (1772881)</t>
  </si>
  <si>
    <t>SB 07-181  *</t>
  </si>
  <si>
    <t xml:space="preserve">    Visual Arts Complex -PO627  (1772884)</t>
  </si>
  <si>
    <t>HB 05-1385</t>
  </si>
  <si>
    <t xml:space="preserve">    Outdoor Recreation Facilities (1771564)</t>
  </si>
  <si>
    <t>HB 05-1385  **</t>
  </si>
  <si>
    <t xml:space="preserve">    Norlin Library Renovation -PO707 (1772897)</t>
  </si>
  <si>
    <t xml:space="preserve">    Arnett Hall Renovation (1770529)</t>
  </si>
  <si>
    <t>SB 07-239  **</t>
  </si>
  <si>
    <t xml:space="preserve">    Athletic Practice Bubble (1771791)</t>
  </si>
  <si>
    <t xml:space="preserve">    Bear Creek Apt Acquisition (12077608)</t>
  </si>
  <si>
    <t xml:space="preserve">    Ekeley Sciences Middle Wing Renovation  -P0802 (1772907)</t>
  </si>
  <si>
    <t>SB 07-263  *</t>
  </si>
  <si>
    <t xml:space="preserve">    Ekeley Sciences Middle Wing Renovation -P0802 (1772907)</t>
  </si>
  <si>
    <t xml:space="preserve">    Ketchum Arts and Sciences Building -P0803 (1772906)</t>
  </si>
  <si>
    <t xml:space="preserve">    Ketchum Arts and Sciences Building  -P0803  (1772906)</t>
  </si>
  <si>
    <t xml:space="preserve">    Andrews, Smith, Buckingham Halls Renov (1770596)</t>
  </si>
  <si>
    <t>HB 08-1375 **</t>
  </si>
  <si>
    <t xml:space="preserve">    Behavioral Science Building (1771847)</t>
  </si>
  <si>
    <t xml:space="preserve">    Biotechnology Building Systems -P0826 (1772909)</t>
  </si>
  <si>
    <t xml:space="preserve">    Community Dining &amp; Student Center (1771888)</t>
  </si>
  <si>
    <t xml:space="preserve">    Heating and Cooling Plant (1771848)</t>
  </si>
  <si>
    <t xml:space="preserve">    JILA Addition </t>
  </si>
  <si>
    <t xml:space="preserve">    North-South Bicycle Corridor Regent Dr Overpass (1771853)</t>
  </si>
  <si>
    <t>(Format 9200 continued on next page)</t>
  </si>
  <si>
    <t>* Included supplemental bills for FY2007 and FY2008 effective January 2007 and January 2008, respectively.</t>
  </si>
  <si>
    <t>** Long Bill footnote states:  "These amounts shall be from exempt institutional sources.  They meet the criteria in Section 24-75-303(3)(a)(II), C.R.S., and are shown here</t>
  </si>
  <si>
    <t xml:space="preserve">    for informational purposes only."</t>
  </si>
  <si>
    <t>APPROPRIATED CAPITAL CONSTRUCTION &amp; CONTROLLED MAINTENANCE, continued</t>
  </si>
  <si>
    <t xml:space="preserve">    Steam Tunnel Struct Repairs -M05011  (1772894)</t>
  </si>
  <si>
    <t xml:space="preserve">    Rpr/Replace Bldg Electr Svcs -M06062 (1772889)</t>
  </si>
  <si>
    <t xml:space="preserve">    Rpr/Replace Bldg Electr Svcs -M06062 (1772903)</t>
  </si>
  <si>
    <t xml:space="preserve">    Upgrade Fire Sprinklers/Alarms -M80053 (1772888)</t>
  </si>
  <si>
    <t xml:space="preserve">    Upgrade Fire Sprinklers/Alarms -M80053 (1772904)</t>
  </si>
  <si>
    <t xml:space="preserve">    Chemical Engr Bldg HVAC -M07010 (1772899)</t>
  </si>
  <si>
    <t xml:space="preserve">    Fire Safety Upgrade -M07011 (1772905)</t>
  </si>
  <si>
    <t xml:space="preserve">    R&amp;R Compressed Air -M07012 (1772898)</t>
  </si>
  <si>
    <t xml:space="preserve">    UPG Transformer -M07013 (1772901)</t>
  </si>
  <si>
    <t xml:space="preserve">    Upgrade Fire Alarm Systems -M07014 (1772902)</t>
  </si>
  <si>
    <t xml:space="preserve">    Main Campus Tunnel Security Projects -M08003 (1772908)</t>
  </si>
  <si>
    <t xml:space="preserve">    Henderson Bldg Fire Suppression -M08021 (1772911)</t>
  </si>
  <si>
    <t xml:space="preserve">    Ramaley, Macky Bldgs Upgrade Fire Suppr -M08022 (1772912)</t>
  </si>
  <si>
    <t xml:space="preserve">    Upgrade Fire Safety -M07011 (1772910)</t>
  </si>
  <si>
    <t>TOTAL CAPITAL APPROPRIATIONS</t>
  </si>
  <si>
    <t>FY 2008-2009 SUMMER COF APPENDIX</t>
  </si>
  <si>
    <t>Definition of Summer 1: Students registered who are eligible and authorize COF and are attending class for summer sessions starting and ending prior to June 30; and for summer sessions</t>
  </si>
  <si>
    <t>starting prior to June 30, but ending after June 30 (overlapping the fiscal years) will be billed the current fiscal year.</t>
  </si>
  <si>
    <t>Definition of Summer 2: Students registered who are eligible and authorize COF and are attending class for summer sessions starting after June 30, these will be billed the next fiscal year.</t>
  </si>
  <si>
    <t xml:space="preserve">        Governing Board/Institutions</t>
  </si>
  <si>
    <t>Summer 1</t>
  </si>
  <si>
    <t>Summer 2</t>
  </si>
  <si>
    <t xml:space="preserve">       Regents of the University of Colorado:</t>
  </si>
  <si>
    <t xml:space="preserve">                   University of Colorado-Boulder</t>
  </si>
  <si>
    <t xml:space="preserve">                   University of Colorado-Colorado Springs</t>
  </si>
  <si>
    <t xml:space="preserve">                   University of Colorado-Denver</t>
  </si>
  <si>
    <t xml:space="preserve">                   University of Colorado-Health Sciences</t>
  </si>
  <si>
    <t xml:space="preserve">        Board of Governors of Colorado State University System :</t>
  </si>
  <si>
    <t xml:space="preserve">                   Colorado State University-Education &amp; General</t>
  </si>
  <si>
    <t xml:space="preserve">                   Colorado State University-Professional Veterinary Medicine</t>
  </si>
  <si>
    <t xml:space="preserve">                   Colorado State University - Pueblo</t>
  </si>
  <si>
    <t xml:space="preserve">        Trustees of Fort Lewis College:</t>
  </si>
  <si>
    <t xml:space="preserve">                   Fort Lewis College</t>
  </si>
  <si>
    <t xml:space="preserve">        Trustees of Colorado School of Mines:</t>
  </si>
  <si>
    <t xml:space="preserve">                   Colorado School of Mines</t>
  </si>
  <si>
    <t xml:space="preserve">       Board of Trustees University of Northern Colorado:</t>
  </si>
  <si>
    <t xml:space="preserve">                   University of Northern Colorado</t>
  </si>
  <si>
    <t xml:space="preserve">       Trustees of Adams State College:</t>
  </si>
  <si>
    <t xml:space="preserve">                   Adams State College</t>
  </si>
  <si>
    <t xml:space="preserve">       Trustees of Mesa State College:</t>
  </si>
  <si>
    <t xml:space="preserve">                   Mesa State College</t>
  </si>
  <si>
    <t xml:space="preserve">       Trustees of Metropolitan State College:</t>
  </si>
  <si>
    <t xml:space="preserve">                   Metropolitan State College of Denver</t>
  </si>
  <si>
    <t xml:space="preserve">       Trustees of Western State College:</t>
  </si>
  <si>
    <t xml:space="preserve">                   Western State College</t>
  </si>
  <si>
    <t xml:space="preserve">       Community Colleges of Colorado:</t>
  </si>
  <si>
    <r>
      <t xml:space="preserve">TOTAL </t>
    </r>
    <r>
      <rPr>
        <b/>
        <sz val="9"/>
        <rFont val="Times New Roman"/>
        <family val="1"/>
      </rPr>
      <t>UNRESTRICTED</t>
    </r>
    <r>
      <rPr>
        <sz val="9"/>
        <rFont val="Times New Roman"/>
        <family val="1"/>
      </rPr>
      <t xml:space="preserve"> EDUCATION &amp; GENERAL REVENUES</t>
    </r>
  </si>
  <si>
    <t>University of Colorado at Colorado Springs</t>
  </si>
  <si>
    <t>Institution No.:  GFC</t>
  </si>
  <si>
    <t xml:space="preserve">     Incoming Freshman</t>
  </si>
  <si>
    <t xml:space="preserve">     Lower Division</t>
  </si>
  <si>
    <t xml:space="preserve">     Upper Division LAS</t>
  </si>
  <si>
    <t xml:space="preserve">     Upper Division BUS and EAS</t>
  </si>
  <si>
    <t xml:space="preserve">     Nursing (Beth El)</t>
  </si>
  <si>
    <t xml:space="preserve">     Certificate of Education</t>
  </si>
  <si>
    <t xml:space="preserve">     General (now Grad I)</t>
  </si>
  <si>
    <t xml:space="preserve">     Education (Now Grad I)</t>
  </si>
  <si>
    <t xml:space="preserve">     Engineering/Geropsychology (Now Grad III)</t>
  </si>
  <si>
    <t xml:space="preserve">     Business (Now Grad III)</t>
  </si>
  <si>
    <t xml:space="preserve">     Basic Science (Now Grad I)</t>
  </si>
  <si>
    <t xml:space="preserve">     Public Affairs (Now Grad II)</t>
  </si>
  <si>
    <t xml:space="preserve">     Nursing (Beth El) (Now Grad IV)</t>
  </si>
  <si>
    <t>Rents/ I.D. Revenue</t>
  </si>
  <si>
    <t xml:space="preserve">  Dwire Hall</t>
  </si>
  <si>
    <t xml:space="preserve">   TRW Building</t>
  </si>
  <si>
    <t xml:space="preserve">   TRW Annex</t>
  </si>
  <si>
    <t xml:space="preserve">   Science Building upgrade</t>
  </si>
  <si>
    <t xml:space="preserve">   Shuck Houses</t>
  </si>
  <si>
    <t xml:space="preserve">   Building 4825</t>
  </si>
  <si>
    <t xml:space="preserve">   Science Engineering Building</t>
  </si>
  <si>
    <t xml:space="preserve">   Modular 997</t>
  </si>
  <si>
    <t xml:space="preserve">   Vomaske House 67</t>
  </si>
  <si>
    <t xml:space="preserve">   Dwire Hall</t>
  </si>
  <si>
    <t xml:space="preserve">   Temporary Classrooms</t>
  </si>
  <si>
    <t xml:space="preserve">   Physical Plant Storage</t>
  </si>
  <si>
    <t xml:space="preserve">   Dwire Hall Storage Building</t>
  </si>
  <si>
    <t xml:space="preserve">   Heller Studio</t>
  </si>
  <si>
    <t xml:space="preserve">   Heller Garage/Shop</t>
  </si>
  <si>
    <t xml:space="preserve">   Science Building renovation</t>
  </si>
  <si>
    <t>Scholarship Allowance</t>
  </si>
  <si>
    <t xml:space="preserve">   Cragmor Hall</t>
  </si>
  <si>
    <t xml:space="preserve">   University Hall</t>
  </si>
  <si>
    <t xml:space="preserve">   Energy Performance</t>
  </si>
  <si>
    <t xml:space="preserve">   Other</t>
  </si>
  <si>
    <t xml:space="preserve">   Fixed Assets addition</t>
  </si>
  <si>
    <t xml:space="preserve">   </t>
  </si>
  <si>
    <t xml:space="preserve">   Dwire Hall Renovation and Technology upgrade P0519</t>
  </si>
  <si>
    <t xml:space="preserve">   Parking Garage and Public Safety</t>
  </si>
  <si>
    <t xml:space="preserve">   Repair campus infrastructure</t>
  </si>
  <si>
    <t xml:space="preserve">   Science and Engineering Building P0708</t>
  </si>
  <si>
    <t xml:space="preserve">   Science and Engineering Building P0408</t>
  </si>
  <si>
    <t xml:space="preserve">   Engineering Building repair boilers</t>
  </si>
  <si>
    <t xml:space="preserve">   Repair structural damage M06014</t>
  </si>
  <si>
    <t xml:space="preserve">   Fine Arts Complex utilities upgrade M06063</t>
  </si>
  <si>
    <t xml:space="preserve">   Fire Alarm System upgrade M07015</t>
  </si>
  <si>
    <t xml:space="preserve">   Upg ADA Accessibility M07016</t>
  </si>
  <si>
    <t xml:space="preserve">   Cragmor Hall Water Lines M08004</t>
  </si>
  <si>
    <t xml:space="preserve">   Repair/Replace RTU on University Hall M08023</t>
  </si>
  <si>
    <t xml:space="preserve">University of Colorado Denver </t>
  </si>
  <si>
    <t>Downtown Campus</t>
  </si>
  <si>
    <t>Institution No.:  GFD</t>
  </si>
  <si>
    <t xml:space="preserve">Lower Level </t>
  </si>
  <si>
    <t xml:space="preserve">Upper Level </t>
  </si>
  <si>
    <t>Liberal Arts and Sciences</t>
  </si>
  <si>
    <t>Arch &amp; Planning</t>
  </si>
  <si>
    <t>Non-Degree</t>
  </si>
  <si>
    <t>Education</t>
  </si>
  <si>
    <t>Business</t>
  </si>
  <si>
    <t>SPA</t>
  </si>
  <si>
    <t>Arts &amp; Media</t>
  </si>
  <si>
    <t>Engineering</t>
  </si>
  <si>
    <t xml:space="preserve">Lower Disvision </t>
  </si>
  <si>
    <t>Upper Division</t>
  </si>
  <si>
    <t>Date: 10/01/08</t>
  </si>
  <si>
    <t>1/ The student FTE data is course drive and will not match the FTE breakdown in Format 30.</t>
  </si>
  <si>
    <t>1/  FY07 negative in Student Activity Fee is caused by the deferrals of all fees being book under student activity deferral account codes.  In FY08 a new deferral account code was used for instructional fees.</t>
  </si>
  <si>
    <t xml:space="preserve">     Lawrence Court - 1475 Lawrence</t>
  </si>
  <si>
    <t>fixed asset additions</t>
  </si>
  <si>
    <t>University of Colorado Denver</t>
  </si>
  <si>
    <t>Anschutz Medical Campus</t>
  </si>
  <si>
    <t>Institution No.:  GFE</t>
  </si>
  <si>
    <t>Non State Exempt App Unrestricted E &amp; G Program Code 11XX</t>
  </si>
  <si>
    <t xml:space="preserve">     Dental Hygiene</t>
  </si>
  <si>
    <t xml:space="preserve">     Nursing</t>
  </si>
  <si>
    <t xml:space="preserve">     Basic/Clinical Science</t>
  </si>
  <si>
    <t xml:space="preserve">     Public Health</t>
  </si>
  <si>
    <t xml:space="preserve">     Pharmacy</t>
  </si>
  <si>
    <t xml:space="preserve">     Medicine - MD</t>
  </si>
  <si>
    <t xml:space="preserve">     Medicine - Doctor of Physical Therapy</t>
  </si>
  <si>
    <t xml:space="preserve">     Dentistry</t>
  </si>
  <si>
    <t>NA</t>
  </si>
  <si>
    <t>Professional</t>
  </si>
  <si>
    <t>1/  Faculty FTE by level of student is unavailable.</t>
  </si>
  <si>
    <t>2/  Faculty FTE numbers may be affected from year to year due to funding source shifts.</t>
  </si>
  <si>
    <t>Sales &amp; Services of Hospitals and Clinics</t>
  </si>
  <si>
    <t>Tobacco</t>
  </si>
  <si>
    <t>Decrease in utilities is because of the Research buildings expenditures being moved to the Auxiliary fund because of bond reporting requirements.</t>
  </si>
  <si>
    <t>Increase in operating expense due to the opening of multiple COP buildings in FY08 at the AMC and shutting down the 9th Ave campus.</t>
  </si>
  <si>
    <t xml:space="preserve">    Environ Health &amp; Safety II</t>
  </si>
  <si>
    <t xml:space="preserve">    Campus Services Building</t>
  </si>
  <si>
    <t xml:space="preserve">    Education Building IB</t>
  </si>
  <si>
    <t xml:space="preserve">    Education Building II North &amp; South</t>
  </si>
  <si>
    <t xml:space="preserve">    Library</t>
  </si>
  <si>
    <t xml:space="preserve">    Academic Offices West</t>
  </si>
  <si>
    <t xml:space="preserve">    Henderson Parking Structure</t>
  </si>
  <si>
    <t xml:space="preserve">    Pascal Expansion</t>
  </si>
  <si>
    <t xml:space="preserve">     Center for Bioethics &amp; Humanities</t>
  </si>
  <si>
    <t xml:space="preserve">      RC2</t>
  </si>
  <si>
    <t xml:space="preserve">    Decommissioning of School of Dentistry</t>
  </si>
  <si>
    <t xml:space="preserve">    Carpenter &amp; Paint Shops 9th Ave</t>
  </si>
  <si>
    <t xml:space="preserve">    Warehouse 9th Ave</t>
  </si>
  <si>
    <t xml:space="preserve">    Denison Auditorium &amp; Library</t>
  </si>
  <si>
    <t xml:space="preserve">    Childhood Diagnostic Center</t>
  </si>
  <si>
    <t xml:space="preserve">    Barbara Davis Center 9th Ave</t>
  </si>
  <si>
    <t xml:space="preserve">    Office Annex</t>
  </si>
  <si>
    <t xml:space="preserve">    Clermont Building</t>
  </si>
  <si>
    <t xml:space="preserve">    Colorado Psychiatric Hospital</t>
  </si>
  <si>
    <t xml:space="preserve">    School of Medicine</t>
  </si>
  <si>
    <t xml:space="preserve">    School of Nursing</t>
  </si>
  <si>
    <t xml:space="preserve">    Research Bridge</t>
  </si>
  <si>
    <t xml:space="preserve">    Biomedical Research Building</t>
  </si>
  <si>
    <t xml:space="preserve">    Webb Waring</t>
  </si>
  <si>
    <t xml:space="preserve">     Bonfils Building</t>
  </si>
  <si>
    <t xml:space="preserve">     Health &amp; Safety Bldg/Garages (Cooling Tower)</t>
  </si>
  <si>
    <t xml:space="preserve">     UCH Admin Bldg (AOB)</t>
  </si>
  <si>
    <t>In FY 07 Fellowship stipends were treated as Financial Aid beginning in FY08 they are now reported as general expense.</t>
  </si>
  <si>
    <t>Fixed Asset Allowance</t>
  </si>
  <si>
    <t>Rounding</t>
  </si>
  <si>
    <t>University of Colorado at Boulder</t>
  </si>
  <si>
    <t xml:space="preserve">University of Colorado Board of Regents </t>
  </si>
  <si>
    <t>University of Colorado</t>
  </si>
  <si>
    <t>NAME:</t>
  </si>
  <si>
    <t>University of Colorado Denver- Downtown Campus</t>
  </si>
  <si>
    <t>University of Colorado Denver- Anschutz Medical Campus</t>
  </si>
  <si>
    <t>Replace Water Piping, Bldg 500</t>
  </si>
  <si>
    <t xml:space="preserve">AHEC Art Building Repair/Replace Indoor Air Quality, Window, and HVAC </t>
  </si>
  <si>
    <t xml:space="preserve">Business School Purchase and Rennovation of 1475 Lawrence Street </t>
  </si>
  <si>
    <t>Auraria Science Building</t>
  </si>
  <si>
    <t>Fitzsimons, I-225/Colfax Interchange</t>
  </si>
  <si>
    <t>Fitzsimons, Lazarra Center For Oral Facial Health 4th Floor Addition</t>
  </si>
  <si>
    <t>Lease Purchase of Academic Facilities at Fitzsimons</t>
  </si>
  <si>
    <t>Fitzsimons, Infrastructure Phase 10b</t>
  </si>
  <si>
    <t>Anschutz Facility, Linear Accelerator Vault</t>
  </si>
  <si>
    <t>New Pharmacy Research Building</t>
  </si>
  <si>
    <t>Various Controlled Maintenance</t>
  </si>
  <si>
    <t>9th Avenue Remediation</t>
  </si>
  <si>
    <t>Aspen Satellite Campus, Given Institution renovation</t>
  </si>
  <si>
    <t>Fitzsimons, Infrastructure Phase 10</t>
  </si>
  <si>
    <t>Pascal II Addition</t>
  </si>
  <si>
    <t xml:space="preserve">University of Colorado 
</t>
  </si>
  <si>
    <t>Board of Regents &amp; System Administration</t>
  </si>
  <si>
    <t xml:space="preserve">Institution No.:  </t>
  </si>
  <si>
    <t>COFRS Code: 4407</t>
  </si>
  <si>
    <t>University of Colorado Denver- AMC</t>
  </si>
  <si>
    <t xml:space="preserve">Note:  System Administration expenses are allocated to the campuses.  These expenses are contained within the campus detail pages.  </t>
  </si>
  <si>
    <t>Note: Employee FTE information is based on the best information available. FTE information may vary based on the point of time the data is collected as well as data entry issues.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</si>
</sst>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%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_);_(* \(#,##0.0\);_(* &quot;-&quot;_);_(@_)"/>
    <numFmt numFmtId="179" formatCode="_(* #,##0.00_);_(* \(#,##0.00\);_(* &quot;-&quot;_);_(@_)"/>
    <numFmt numFmtId="180" formatCode="0.00_);\(0.00\)"/>
    <numFmt numFmtId="181" formatCode="_(* #,##0.000_);_(* \(#,##0.000\);_(* &quot;-&quot;???_);_(@_)"/>
    <numFmt numFmtId="182" formatCode="0.0_);\(0.0\)"/>
    <numFmt numFmtId="183" formatCode="#,##0.0000_);\(#,##0.0000\)"/>
    <numFmt numFmtId="184" formatCode="0_);\(0\)"/>
    <numFmt numFmtId="185" formatCode="0.0000"/>
    <numFmt numFmtId="186" formatCode="_(* #,##0.0000_);_(* \(#,##0.0000\);_(* &quot;-&quot;??_);_(@_)"/>
    <numFmt numFmtId="187" formatCode="[$$-409]#,##0"/>
    <numFmt numFmtId="188" formatCode="_(&quot;$&quot;* #,##0_);_(&quot;$&quot;* \(#,##0\);_(&quot;$&quot;* &quot;-&quot;??_);_(@_)"/>
  </numFmts>
  <fonts count="60">
    <font>
      <sz val="10"/>
      <name val="Courier"/>
      <family val="0"/>
    </font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i/>
      <sz val="36"/>
      <name val="Times New Roman"/>
      <family val="1"/>
    </font>
    <font>
      <b/>
      <sz val="22"/>
      <name val="Times New Roman"/>
      <family val="1"/>
    </font>
    <font>
      <b/>
      <sz val="8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7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u val="single"/>
      <sz val="9"/>
      <name val="Times New Roman"/>
      <family val="1"/>
    </font>
    <font>
      <sz val="12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3" fillId="0" borderId="0" xfId="42" applyNumberFormat="1" applyFont="1" applyFill="1" applyAlignment="1" applyProtection="1">
      <alignment horizontal="center"/>
      <protection locked="0"/>
    </xf>
    <xf numFmtId="175" fontId="3" fillId="0" borderId="0" xfId="42" applyNumberFormat="1" applyFont="1" applyFill="1" applyAlignment="1" applyProtection="1">
      <alignment horizontal="right"/>
      <protection locked="0"/>
    </xf>
    <xf numFmtId="0" fontId="3" fillId="32" borderId="0" xfId="0" applyFont="1" applyFill="1" applyAlignment="1">
      <alignment/>
    </xf>
    <xf numFmtId="169" fontId="3" fillId="32" borderId="0" xfId="0" applyNumberFormat="1" applyFont="1" applyFill="1" applyAlignment="1">
      <alignment/>
    </xf>
    <xf numFmtId="39" fontId="3" fillId="0" borderId="0" xfId="0" applyNumberFormat="1" applyFont="1" applyFill="1" applyAlignment="1" applyProtection="1">
      <alignment/>
      <protection/>
    </xf>
    <xf numFmtId="42" fontId="3" fillId="32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169" fontId="3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 locked="0"/>
    </xf>
    <xf numFmtId="3" fontId="1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fill"/>
      <protection/>
    </xf>
    <xf numFmtId="169" fontId="3" fillId="0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 applyProtection="1">
      <alignment horizontal="fill"/>
      <protection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169" fontId="3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fill"/>
      <protection/>
    </xf>
    <xf numFmtId="0" fontId="4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fill"/>
      <protection/>
    </xf>
    <xf numFmtId="169" fontId="3" fillId="33" borderId="0" xfId="0" applyNumberFormat="1" applyFont="1" applyFill="1" applyAlignment="1" applyProtection="1">
      <alignment horizontal="fill"/>
      <protection/>
    </xf>
    <xf numFmtId="3" fontId="3" fillId="33" borderId="0" xfId="0" applyNumberFormat="1" applyFont="1" applyFill="1" applyAlignment="1">
      <alignment/>
    </xf>
    <xf numFmtId="39" fontId="3" fillId="33" borderId="0" xfId="0" applyNumberFormat="1" applyFont="1" applyFill="1" applyAlignment="1" applyProtection="1">
      <alignment horizontal="fill"/>
      <protection/>
    </xf>
    <xf numFmtId="3" fontId="3" fillId="33" borderId="0" xfId="0" applyNumberFormat="1" applyFont="1" applyFill="1" applyAlignment="1" applyProtection="1">
      <alignment horizontal="fill"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 applyProtection="1">
      <alignment horizontal="fill"/>
      <protection/>
    </xf>
    <xf numFmtId="164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9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6" fontId="14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75" fontId="3" fillId="0" borderId="0" xfId="42" applyNumberFormat="1" applyFont="1" applyFill="1" applyAlignment="1" applyProtection="1">
      <alignment horizontal="right"/>
      <protection/>
    </xf>
    <xf numFmtId="43" fontId="3" fillId="0" borderId="0" xfId="42" applyNumberFormat="1" applyFont="1" applyFill="1" applyAlignment="1" applyProtection="1">
      <alignment horizontal="right"/>
      <protection/>
    </xf>
    <xf numFmtId="43" fontId="3" fillId="0" borderId="0" xfId="42" applyNumberFormat="1" applyFont="1" applyFill="1" applyAlignment="1">
      <alignment horizontal="right"/>
    </xf>
    <xf numFmtId="175" fontId="3" fillId="0" borderId="0" xfId="42" applyNumberFormat="1" applyFont="1" applyFill="1" applyAlignment="1">
      <alignment horizontal="right"/>
    </xf>
    <xf numFmtId="43" fontId="15" fillId="0" borderId="0" xfId="42" applyNumberFormat="1" applyFont="1" applyFill="1" applyAlignment="1">
      <alignment horizontal="right"/>
    </xf>
    <xf numFmtId="43" fontId="3" fillId="0" borderId="0" xfId="42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/>
      <protection/>
    </xf>
    <xf numFmtId="174" fontId="3" fillId="0" borderId="0" xfId="42" applyNumberFormat="1" applyFont="1" applyFill="1" applyAlignment="1" applyProtection="1">
      <alignment/>
      <protection/>
    </xf>
    <xf numFmtId="9" fontId="3" fillId="0" borderId="0" xfId="59" applyFont="1" applyFill="1" applyAlignment="1" applyProtection="1">
      <alignment/>
      <protection/>
    </xf>
    <xf numFmtId="174" fontId="3" fillId="0" borderId="0" xfId="42" applyNumberFormat="1" applyFont="1" applyFill="1" applyAlignment="1" applyProtection="1">
      <alignment/>
      <protection locked="0"/>
    </xf>
    <xf numFmtId="174" fontId="3" fillId="0" borderId="0" xfId="42" applyNumberFormat="1" applyFont="1" applyFill="1" applyAlignment="1">
      <alignment/>
    </xf>
    <xf numFmtId="0" fontId="16" fillId="0" borderId="0" xfId="0" applyFont="1" applyFill="1" applyAlignment="1">
      <alignment/>
    </xf>
    <xf numFmtId="16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 quotePrefix="1">
      <alignment horizontal="left"/>
      <protection/>
    </xf>
    <xf numFmtId="37" fontId="4" fillId="0" borderId="0" xfId="0" applyNumberFormat="1" applyFont="1" applyFill="1" applyAlignment="1" applyProtection="1" quotePrefix="1">
      <alignment horizontal="left"/>
      <protection locked="0"/>
    </xf>
    <xf numFmtId="174" fontId="3" fillId="0" borderId="0" xfId="42" applyNumberFormat="1" applyFont="1" applyFill="1" applyAlignment="1">
      <alignment horizontal="right"/>
    </xf>
    <xf numFmtId="174" fontId="3" fillId="0" borderId="0" xfId="42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right" wrapText="1"/>
    </xf>
    <xf numFmtId="37" fontId="3" fillId="0" borderId="0" xfId="0" applyNumberFormat="1" applyFont="1" applyFill="1" applyAlignment="1" applyProtection="1">
      <alignment/>
      <protection locked="0"/>
    </xf>
    <xf numFmtId="43" fontId="3" fillId="0" borderId="0" xfId="0" applyNumberFormat="1" applyFont="1" applyFill="1" applyAlignment="1" applyProtection="1">
      <alignment horizontal="fill"/>
      <protection/>
    </xf>
    <xf numFmtId="165" fontId="3" fillId="0" borderId="0" xfId="0" applyNumberFormat="1" applyFont="1" applyFill="1" applyAlignment="1" applyProtection="1">
      <alignment horizontal="fill"/>
      <protection/>
    </xf>
    <xf numFmtId="3" fontId="4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>
      <alignment/>
    </xf>
    <xf numFmtId="1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 applyProtection="1">
      <alignment horizontal="right"/>
      <protection/>
    </xf>
    <xf numFmtId="175" fontId="3" fillId="0" borderId="0" xfId="42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>
      <alignment horizontal="right"/>
    </xf>
    <xf numFmtId="175" fontId="3" fillId="0" borderId="0" xfId="42" applyNumberFormat="1" applyFont="1" applyFill="1" applyAlignment="1">
      <alignment horizontal="center"/>
    </xf>
    <xf numFmtId="175" fontId="3" fillId="0" borderId="0" xfId="42" applyNumberFormat="1" applyFont="1" applyFill="1" applyAlignment="1" applyProtection="1">
      <alignment horizontal="center"/>
      <protection/>
    </xf>
    <xf numFmtId="175" fontId="3" fillId="0" borderId="0" xfId="42" applyNumberFormat="1" applyFont="1" applyFill="1" applyAlignment="1">
      <alignment/>
    </xf>
    <xf numFmtId="169" fontId="11" fillId="0" borderId="0" xfId="0" applyNumberFormat="1" applyFont="1" applyFill="1" applyAlignment="1" applyProtection="1">
      <alignment horizontal="left"/>
      <protection/>
    </xf>
    <xf numFmtId="43" fontId="3" fillId="0" borderId="0" xfId="42" applyNumberFormat="1" applyFont="1" applyFill="1" applyAlignment="1" applyProtection="1">
      <alignment horizontal="center"/>
      <protection locked="0"/>
    </xf>
    <xf numFmtId="174" fontId="3" fillId="0" borderId="0" xfId="42" applyNumberFormat="1" applyFont="1" applyFill="1" applyAlignment="1" applyProtection="1">
      <alignment horizontal="center"/>
      <protection locked="0"/>
    </xf>
    <xf numFmtId="43" fontId="3" fillId="0" borderId="0" xfId="42" applyNumberFormat="1" applyFont="1" applyFill="1" applyAlignment="1" applyProtection="1">
      <alignment horizontal="center"/>
      <protection/>
    </xf>
    <xf numFmtId="43" fontId="3" fillId="0" borderId="0" xfId="42" applyNumberFormat="1" applyFont="1" applyFill="1" applyAlignment="1">
      <alignment horizontal="center"/>
    </xf>
    <xf numFmtId="174" fontId="3" fillId="0" borderId="0" xfId="42" applyNumberFormat="1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right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 quotePrefix="1">
      <alignment/>
    </xf>
    <xf numFmtId="2" fontId="3" fillId="0" borderId="0" xfId="0" applyNumberFormat="1" applyFont="1" applyFill="1" applyAlignment="1" applyProtection="1">
      <alignment/>
      <protection locked="0"/>
    </xf>
    <xf numFmtId="177" fontId="3" fillId="0" borderId="0" xfId="42" applyNumberFormat="1" applyFont="1" applyFill="1" applyAlignment="1" applyProtection="1">
      <alignment horizontal="right"/>
      <protection locked="0"/>
    </xf>
    <xf numFmtId="177" fontId="3" fillId="0" borderId="0" xfId="42" applyNumberFormat="1" applyFont="1" applyFill="1" applyAlignment="1">
      <alignment horizontal="right"/>
    </xf>
    <xf numFmtId="2" fontId="3" fillId="0" borderId="0" xfId="0" applyNumberFormat="1" applyFont="1" applyFill="1" applyAlignment="1" applyProtection="1">
      <alignment horizontal="fill"/>
      <protection/>
    </xf>
    <xf numFmtId="2" fontId="3" fillId="0" borderId="0" xfId="42" applyNumberFormat="1" applyFont="1" applyFill="1" applyAlignment="1" applyProtection="1">
      <alignment horizontal="right"/>
      <protection locked="0"/>
    </xf>
    <xf numFmtId="2" fontId="3" fillId="0" borderId="0" xfId="42" applyNumberFormat="1" applyFont="1" applyFill="1" applyAlignment="1">
      <alignment horizontal="right"/>
    </xf>
    <xf numFmtId="43" fontId="3" fillId="0" borderId="0" xfId="42" applyNumberFormat="1" applyFont="1" applyFill="1" applyAlignment="1" applyProtection="1">
      <alignment/>
      <protection locked="0"/>
    </xf>
    <xf numFmtId="4" fontId="3" fillId="0" borderId="0" xfId="42" applyNumberFormat="1" applyFont="1" applyFill="1" applyAlignment="1" applyProtection="1">
      <alignment horizontal="center"/>
      <protection locked="0"/>
    </xf>
    <xf numFmtId="4" fontId="3" fillId="0" borderId="0" xfId="42" applyNumberFormat="1" applyFont="1" applyFill="1" applyAlignment="1">
      <alignment horizontal="center"/>
    </xf>
    <xf numFmtId="4" fontId="3" fillId="0" borderId="0" xfId="42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 horizontal="fill"/>
      <protection/>
    </xf>
    <xf numFmtId="0" fontId="2" fillId="0" borderId="0" xfId="0" applyFont="1" applyFill="1" applyAlignment="1" applyProtection="1">
      <alignment horizontal="left"/>
      <protection/>
    </xf>
    <xf numFmtId="169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3" fontId="11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169" fontId="4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5" fontId="3" fillId="0" borderId="0" xfId="0" applyNumberFormat="1" applyFont="1" applyFill="1" applyAlignment="1" applyProtection="1">
      <alignment horizontal="center"/>
      <protection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Alignment="1" applyProtection="1">
      <alignment horizontal="center"/>
      <protection locked="0"/>
    </xf>
    <xf numFmtId="5" fontId="3" fillId="0" borderId="0" xfId="0" applyNumberFormat="1" applyFont="1" applyFill="1" applyAlignment="1">
      <alignment horizontal="center"/>
    </xf>
    <xf numFmtId="5" fontId="3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 quotePrefix="1">
      <alignment horizontal="fill"/>
      <protection/>
    </xf>
    <xf numFmtId="5" fontId="3" fillId="0" borderId="0" xfId="0" applyNumberFormat="1" applyFont="1" applyFill="1" applyAlignment="1" applyProtection="1">
      <alignment horizontal="fill"/>
      <protection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 horizontal="fill"/>
      <protection/>
    </xf>
    <xf numFmtId="166" fontId="11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9" fontId="3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/>
    </xf>
    <xf numFmtId="165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 applyProtection="1">
      <alignment/>
      <protection/>
    </xf>
    <xf numFmtId="183" fontId="3" fillId="0" borderId="0" xfId="0" applyNumberFormat="1" applyFont="1" applyFill="1" applyAlignment="1" applyProtection="1">
      <alignment/>
      <protection locked="0"/>
    </xf>
    <xf numFmtId="39" fontId="3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fill"/>
      <protection/>
    </xf>
    <xf numFmtId="37" fontId="3" fillId="0" borderId="0" xfId="0" applyNumberFormat="1" applyFont="1" applyFill="1" applyBorder="1" applyAlignment="1" applyProtection="1">
      <alignment horizontal="fill"/>
      <protection/>
    </xf>
    <xf numFmtId="3" fontId="3" fillId="0" borderId="0" xfId="59" applyNumberFormat="1" applyFont="1" applyFill="1" applyAlignment="1" applyProtection="1">
      <alignment/>
      <protection/>
    </xf>
    <xf numFmtId="3" fontId="3" fillId="0" borderId="0" xfId="59" applyNumberFormat="1" applyFont="1" applyFill="1" applyAlignment="1" applyProtection="1">
      <alignment horizontal="right"/>
      <protection/>
    </xf>
    <xf numFmtId="3" fontId="3" fillId="0" borderId="0" xfId="59" applyNumberFormat="1" applyFont="1" applyFill="1" applyAlignment="1" applyProtection="1">
      <alignment/>
      <protection locked="0"/>
    </xf>
    <xf numFmtId="3" fontId="3" fillId="0" borderId="0" xfId="42" applyNumberFormat="1" applyFont="1" applyFill="1" applyAlignment="1" applyProtection="1">
      <alignment/>
      <protection/>
    </xf>
    <xf numFmtId="3" fontId="3" fillId="0" borderId="0" xfId="42" applyNumberFormat="1" applyFont="1" applyFill="1" applyAlignment="1">
      <alignment/>
    </xf>
    <xf numFmtId="4" fontId="3" fillId="0" borderId="0" xfId="42" applyNumberFormat="1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 applyProtection="1">
      <alignment horizontal="right"/>
      <protection locked="0"/>
    </xf>
    <xf numFmtId="39" fontId="3" fillId="0" borderId="0" xfId="42" applyNumberFormat="1" applyFont="1" applyFill="1" applyAlignment="1" applyProtection="1">
      <alignment horizontal="right"/>
      <protection locked="0"/>
    </xf>
    <xf numFmtId="1" fontId="3" fillId="0" borderId="0" xfId="42" applyNumberFormat="1" applyFont="1" applyFill="1" applyAlignment="1" applyProtection="1">
      <alignment horizontal="right"/>
      <protection locked="0"/>
    </xf>
    <xf numFmtId="4" fontId="3" fillId="0" borderId="0" xfId="42" applyNumberFormat="1" applyFont="1" applyFill="1" applyAlignment="1">
      <alignment horizontal="right"/>
    </xf>
    <xf numFmtId="3" fontId="3" fillId="0" borderId="0" xfId="42" applyNumberFormat="1" applyFont="1" applyFill="1" applyAlignment="1">
      <alignment horizontal="right"/>
    </xf>
    <xf numFmtId="39" fontId="3" fillId="0" borderId="0" xfId="42" applyNumberFormat="1" applyFont="1" applyFill="1" applyAlignment="1">
      <alignment horizontal="right"/>
    </xf>
    <xf numFmtId="1" fontId="3" fillId="0" borderId="0" xfId="42" applyNumberFormat="1" applyFont="1" applyFill="1" applyAlignment="1">
      <alignment horizontal="right"/>
    </xf>
    <xf numFmtId="38" fontId="3" fillId="0" borderId="0" xfId="0" applyNumberFormat="1" applyFont="1" applyFill="1" applyAlignment="1">
      <alignment/>
    </xf>
    <xf numFmtId="1" fontId="3" fillId="0" borderId="0" xfId="42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8" fontId="3" fillId="0" borderId="0" xfId="42" applyNumberFormat="1" applyFont="1" applyFill="1" applyAlignment="1">
      <alignment horizontal="right"/>
    </xf>
    <xf numFmtId="38" fontId="3" fillId="0" borderId="0" xfId="42" applyNumberFormat="1" applyFont="1" applyFill="1" applyAlignment="1" applyProtection="1">
      <alignment horizontal="right"/>
      <protection locked="0"/>
    </xf>
    <xf numFmtId="38" fontId="3" fillId="0" borderId="0" xfId="0" applyNumberFormat="1" applyFont="1" applyFill="1" applyAlignment="1" applyProtection="1">
      <alignment horizontal="fill"/>
      <protection/>
    </xf>
    <xf numFmtId="3" fontId="3" fillId="0" borderId="0" xfId="42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/>
    </xf>
    <xf numFmtId="3" fontId="3" fillId="0" borderId="0" xfId="59" applyNumberFormat="1" applyFont="1" applyFill="1" applyAlignment="1" applyProtection="1">
      <alignment horizontal="left"/>
      <protection/>
    </xf>
    <xf numFmtId="39" fontId="3" fillId="0" borderId="0" xfId="0" applyNumberFormat="1" applyFont="1" applyFill="1" applyAlignment="1" applyProtection="1">
      <alignment horizontal="right"/>
      <protection/>
    </xf>
    <xf numFmtId="37" fontId="3" fillId="0" borderId="0" xfId="42" applyNumberFormat="1" applyFont="1" applyFill="1" applyAlignment="1" applyProtection="1">
      <alignment horizontal="right"/>
      <protection locked="0"/>
    </xf>
    <xf numFmtId="175" fontId="3" fillId="0" borderId="0" xfId="0" applyNumberFormat="1" applyFont="1" applyFill="1" applyAlignment="1">
      <alignment horizontal="left" indent="1"/>
    </xf>
    <xf numFmtId="180" fontId="3" fillId="0" borderId="0" xfId="42" applyNumberFormat="1" applyFont="1" applyFill="1" applyAlignment="1" applyProtection="1">
      <alignment horizontal="right"/>
      <protection locked="0"/>
    </xf>
    <xf numFmtId="180" fontId="3" fillId="0" borderId="0" xfId="42" applyNumberFormat="1" applyFont="1" applyFill="1" applyAlignment="1">
      <alignment horizontal="right"/>
    </xf>
    <xf numFmtId="43" fontId="3" fillId="0" borderId="0" xfId="0" applyNumberFormat="1" applyFont="1" applyFill="1" applyAlignment="1" applyProtection="1">
      <alignment/>
      <protection locked="0"/>
    </xf>
    <xf numFmtId="37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9" fontId="3" fillId="0" borderId="0" xfId="0" applyNumberFormat="1" applyFont="1" applyFill="1" applyAlignment="1" applyProtection="1">
      <alignment horizontal="center"/>
      <protection locked="0"/>
    </xf>
    <xf numFmtId="3" fontId="10" fillId="0" borderId="0" xfId="0" applyNumberFormat="1" applyFont="1" applyFill="1" applyAlignment="1">
      <alignment horizontal="right"/>
    </xf>
    <xf numFmtId="42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 applyProtection="1">
      <alignment horizontal="center"/>
      <protection/>
    </xf>
    <xf numFmtId="168" fontId="3" fillId="0" borderId="0" xfId="0" applyNumberFormat="1" applyFont="1" applyFill="1" applyAlignment="1" applyProtection="1">
      <alignment horizontal="fill"/>
      <protection/>
    </xf>
    <xf numFmtId="169" fontId="3" fillId="0" borderId="0" xfId="0" applyNumberFormat="1" applyFont="1" applyFill="1" applyAlignment="1">
      <alignment horizontal="center"/>
    </xf>
    <xf numFmtId="41" fontId="14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38" fontId="3" fillId="0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41" fontId="4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 horizontal="left"/>
      <protection locked="0"/>
    </xf>
    <xf numFmtId="167" fontId="3" fillId="0" borderId="0" xfId="0" applyNumberFormat="1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 horizontal="right"/>
      <protection/>
    </xf>
    <xf numFmtId="37" fontId="11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 horizontal="left"/>
      <protection/>
    </xf>
    <xf numFmtId="37" fontId="11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applyProtection="1">
      <alignment horizontal="fill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5" fontId="3" fillId="0" borderId="0" xfId="0" applyNumberFormat="1" applyFont="1" applyFill="1" applyAlignment="1" applyProtection="1">
      <alignment horizontal="left"/>
      <protection locked="0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75" fontId="3" fillId="0" borderId="19" xfId="42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69" fontId="3" fillId="0" borderId="2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9" fontId="3" fillId="0" borderId="2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3" fillId="0" borderId="0" xfId="44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88" fontId="24" fillId="0" borderId="0" xfId="44" applyNumberFormat="1" applyFont="1" applyFill="1" applyBorder="1" applyAlignment="1">
      <alignment wrapText="1"/>
    </xf>
    <xf numFmtId="175" fontId="3" fillId="0" borderId="0" xfId="42" applyNumberFormat="1" applyFont="1" applyFill="1" applyAlignment="1">
      <alignment/>
    </xf>
    <xf numFmtId="41" fontId="3" fillId="0" borderId="0" xfId="0" applyNumberFormat="1" applyFont="1" applyFill="1" applyAlignment="1" applyProtection="1">
      <alignment/>
      <protection locked="0"/>
    </xf>
    <xf numFmtId="188" fontId="24" fillId="0" borderId="0" xfId="44" applyNumberFormat="1" applyFont="1" applyFill="1" applyBorder="1" applyAlignment="1" quotePrefix="1">
      <alignment horizontal="left" wrapText="1"/>
    </xf>
    <xf numFmtId="188" fontId="24" fillId="0" borderId="0" xfId="44" applyNumberFormat="1" applyFont="1" applyFill="1" applyBorder="1" applyAlignment="1">
      <alignment horizontal="left" wrapText="1"/>
    </xf>
    <xf numFmtId="39" fontId="4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39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124"/>
  <sheetViews>
    <sheetView showGridLines="0" tabSelected="1" zoomScale="75" zoomScaleNormal="75" zoomScaleSheetLayoutView="65" workbookViewId="0" topLeftCell="A1">
      <selection activeCell="A85" sqref="A85"/>
    </sheetView>
  </sheetViews>
  <sheetFormatPr defaultColWidth="9.625" defaultRowHeight="12.75"/>
  <cols>
    <col min="1" max="1" width="7.625" style="7" customWidth="1"/>
    <col min="2" max="2" width="1.875" style="7" customWidth="1"/>
    <col min="3" max="3" width="33.00390625" style="7" customWidth="1"/>
    <col min="4" max="4" width="26.75390625" style="7" customWidth="1"/>
    <col min="5" max="6" width="8.125" style="7" customWidth="1"/>
    <col min="7" max="7" width="10.625" style="7" customWidth="1"/>
    <col min="8" max="8" width="13.625" style="7" customWidth="1"/>
    <col min="9" max="9" width="10.625" style="8" customWidth="1"/>
    <col min="10" max="10" width="13.625" style="9" customWidth="1"/>
    <col min="11" max="11" width="8.875" style="7" customWidth="1"/>
    <col min="12" max="12" width="8.75390625" style="8" customWidth="1"/>
    <col min="13" max="13" width="13.00390625" style="9" customWidth="1"/>
    <col min="14" max="16384" width="9.625" style="7" customWidth="1"/>
  </cols>
  <sheetData>
    <row r="2" ht="12">
      <c r="M2" s="10" t="s">
        <v>147</v>
      </c>
    </row>
    <row r="3" ht="12">
      <c r="M3" s="195" t="s">
        <v>255</v>
      </c>
    </row>
    <row r="5" spans="1:13" ht="45">
      <c r="A5" s="263" t="s">
        <v>146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8" spans="1:13" s="45" customFormat="1" ht="33">
      <c r="A8" s="264" t="s">
        <v>256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3" s="45" customFormat="1" ht="33">
      <c r="A9" s="264" t="s">
        <v>257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20" spans="1:13" ht="45">
      <c r="A20" s="265" t="s">
        <v>662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</row>
    <row r="36" spans="1:13" ht="12.75">
      <c r="A36" s="266" t="s">
        <v>258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8" spans="1:13" ht="12">
      <c r="A38" s="16"/>
      <c r="I38" s="17"/>
      <c r="M38" s="18" t="s">
        <v>116</v>
      </c>
    </row>
    <row r="39" spans="1:13" ht="12">
      <c r="A39" s="261" t="s">
        <v>115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</row>
    <row r="40" spans="1:13" ht="12">
      <c r="A40" s="19" t="s">
        <v>248</v>
      </c>
      <c r="C40" s="7" t="s">
        <v>663</v>
      </c>
      <c r="I40" s="17"/>
      <c r="K40" s="5"/>
      <c r="L40" s="17"/>
      <c r="M40" s="20" t="str">
        <f>$M$3</f>
        <v>Date: 10/1/2008</v>
      </c>
    </row>
    <row r="41" spans="1:13" ht="12">
      <c r="A41" s="21" t="s">
        <v>1</v>
      </c>
      <c r="B41" s="21" t="s">
        <v>1</v>
      </c>
      <c r="C41" s="21" t="s">
        <v>1</v>
      </c>
      <c r="D41" s="21" t="s">
        <v>1</v>
      </c>
      <c r="E41" s="21" t="s">
        <v>1</v>
      </c>
      <c r="F41" s="21" t="s">
        <v>1</v>
      </c>
      <c r="G41" s="21"/>
      <c r="H41" s="21"/>
      <c r="I41" s="22" t="s">
        <v>1</v>
      </c>
      <c r="J41" s="23" t="s">
        <v>1</v>
      </c>
      <c r="K41" s="21" t="s">
        <v>1</v>
      </c>
      <c r="L41" s="22" t="s">
        <v>1</v>
      </c>
      <c r="M41" s="23" t="s">
        <v>1</v>
      </c>
    </row>
    <row r="42" spans="1:13" ht="12">
      <c r="A42" s="24" t="s">
        <v>2</v>
      </c>
      <c r="C42" s="12" t="s">
        <v>3</v>
      </c>
      <c r="E42" s="24" t="s">
        <v>2</v>
      </c>
      <c r="F42" s="25"/>
      <c r="G42" s="25"/>
      <c r="H42" s="25" t="s">
        <v>249</v>
      </c>
      <c r="I42" s="26"/>
      <c r="J42" s="27" t="s">
        <v>251</v>
      </c>
      <c r="K42" s="25"/>
      <c r="L42" s="198"/>
      <c r="M42" s="27" t="s">
        <v>259</v>
      </c>
    </row>
    <row r="43" spans="1:13" ht="12">
      <c r="A43" s="24" t="s">
        <v>4</v>
      </c>
      <c r="C43" s="28" t="s">
        <v>5</v>
      </c>
      <c r="E43" s="24" t="s">
        <v>4</v>
      </c>
      <c r="F43" s="25"/>
      <c r="G43" s="25" t="s">
        <v>21</v>
      </c>
      <c r="H43" s="25" t="s">
        <v>7</v>
      </c>
      <c r="I43" s="26" t="s">
        <v>6</v>
      </c>
      <c r="J43" s="27" t="s">
        <v>7</v>
      </c>
      <c r="K43" s="25"/>
      <c r="L43" s="198" t="s">
        <v>6</v>
      </c>
      <c r="M43" s="27" t="s">
        <v>8</v>
      </c>
    </row>
    <row r="44" spans="1:13" ht="12">
      <c r="A44" s="21" t="s">
        <v>1</v>
      </c>
      <c r="B44" s="21" t="s">
        <v>1</v>
      </c>
      <c r="C44" s="21" t="s">
        <v>1</v>
      </c>
      <c r="D44" s="21" t="s">
        <v>1</v>
      </c>
      <c r="E44" s="21" t="s">
        <v>1</v>
      </c>
      <c r="F44" s="21" t="s">
        <v>1</v>
      </c>
      <c r="G44" s="21"/>
      <c r="H44" s="21"/>
      <c r="I44" s="22" t="s">
        <v>1</v>
      </c>
      <c r="J44" s="23" t="s">
        <v>1</v>
      </c>
      <c r="K44" s="21" t="s">
        <v>1</v>
      </c>
      <c r="L44" s="199" t="s">
        <v>1</v>
      </c>
      <c r="M44" s="23" t="s">
        <v>1</v>
      </c>
    </row>
    <row r="45" spans="1:13" ht="12">
      <c r="A45" s="11">
        <v>1</v>
      </c>
      <c r="C45" s="12" t="s">
        <v>9</v>
      </c>
      <c r="D45" s="29" t="s">
        <v>106</v>
      </c>
      <c r="E45" s="11">
        <v>1</v>
      </c>
      <c r="G45" s="200">
        <f>UCB!G42+UCCS!G43+DDC!G43+AMC!G43+SYSTEM!G43</f>
        <v>3668.71</v>
      </c>
      <c r="H45" s="139">
        <f>UCB!H42+UCCS!H43+DDC!H43+AMC!H43+SYSTEM!H43</f>
        <v>344763261.22</v>
      </c>
      <c r="I45" s="200">
        <f>UCB!I42+UCCS!I43+DDC!I43+AMC!I43+SYSTEM!I43</f>
        <v>3853.5512098726376</v>
      </c>
      <c r="J45" s="139">
        <f>UCB!J42+UCCS!J43+DDC!J43+AMC!J43+SYSTEM!J43</f>
        <v>386281333.87</v>
      </c>
      <c r="K45" s="200"/>
      <c r="L45" s="200">
        <f>UCB!L42+UCCS!L43+DDC!L43+AMC!L43+SYSTEM!L43</f>
        <v>4016.71</v>
      </c>
      <c r="M45" s="139">
        <f>UCB!M42+UCCS!M43+DDC!M43+AMC!M43+SYSTEM!M43</f>
        <v>423017570</v>
      </c>
    </row>
    <row r="46" spans="1:13" ht="12">
      <c r="A46" s="11">
        <v>2</v>
      </c>
      <c r="C46" s="12" t="s">
        <v>10</v>
      </c>
      <c r="D46" s="29" t="s">
        <v>107</v>
      </c>
      <c r="E46" s="11">
        <v>2</v>
      </c>
      <c r="G46" s="200">
        <f>UCB!G43+UCCS!G44+DDC!G44+AMC!G44+SYSTEM!G44</f>
        <v>50.339999999999996</v>
      </c>
      <c r="H46" s="139">
        <f>UCB!H43+UCCS!H44+DDC!H44+AMC!H44+SYSTEM!H44</f>
        <v>8015778.87</v>
      </c>
      <c r="I46" s="200">
        <f>UCB!I43+UCCS!I44+DDC!I44+AMC!I44+SYSTEM!I44</f>
        <v>51.72897928994083</v>
      </c>
      <c r="J46" s="139">
        <f>UCB!J43+UCCS!J44+DDC!J44+AMC!J44+SYSTEM!J44</f>
        <v>8710582.559999999</v>
      </c>
      <c r="K46" s="200"/>
      <c r="L46" s="200">
        <f>UCB!L43+UCCS!L44+DDC!L44+AMC!L44+SYSTEM!L44</f>
        <v>51.85</v>
      </c>
      <c r="M46" s="139">
        <f>UCB!M43+UCCS!M44+DDC!M44+AMC!M44+SYSTEM!M44</f>
        <v>8939473</v>
      </c>
    </row>
    <row r="47" spans="1:13" ht="12">
      <c r="A47" s="11">
        <v>3</v>
      </c>
      <c r="C47" s="12" t="s">
        <v>11</v>
      </c>
      <c r="D47" s="29" t="s">
        <v>108</v>
      </c>
      <c r="E47" s="11">
        <v>3</v>
      </c>
      <c r="G47" s="200">
        <f>UCB!G44+UCCS!G45+DDC!G45+AMC!G45+SYSTEM!G45</f>
        <v>11.14</v>
      </c>
      <c r="H47" s="139">
        <f>UCB!H44+UCCS!H45+DDC!H45+AMC!H45+SYSTEM!H45</f>
        <v>1148504.37</v>
      </c>
      <c r="I47" s="200">
        <f>UCB!I44+UCCS!I45+DDC!I45+AMC!I45+SYSTEM!I45</f>
        <v>11.396399490975991</v>
      </c>
      <c r="J47" s="139">
        <f>UCB!J44+UCCS!J45+DDC!J45+AMC!J45+SYSTEM!J45</f>
        <v>1039815.8099999999</v>
      </c>
      <c r="K47" s="200"/>
      <c r="L47" s="200">
        <f>UCB!L44+UCCS!L45+DDC!L45+AMC!L45+SYSTEM!L45</f>
        <v>9.620000000000001</v>
      </c>
      <c r="M47" s="139">
        <f>UCB!M44+UCCS!M45+DDC!M45+AMC!M45+SYSTEM!M45</f>
        <v>1139225</v>
      </c>
    </row>
    <row r="48" spans="1:13" ht="12">
      <c r="A48" s="11">
        <v>4</v>
      </c>
      <c r="C48" s="12" t="s">
        <v>12</v>
      </c>
      <c r="D48" s="29" t="s">
        <v>109</v>
      </c>
      <c r="E48" s="11">
        <v>4</v>
      </c>
      <c r="G48" s="200">
        <f>UCB!G45+UCCS!G46+DDC!G46+AMC!G46+SYSTEM!G46</f>
        <v>921.64</v>
      </c>
      <c r="H48" s="139">
        <f>UCB!H45+UCCS!H46+DDC!H46+AMC!H46+SYSTEM!H46</f>
        <v>88261382.99000001</v>
      </c>
      <c r="I48" s="200">
        <f>UCB!I45+UCCS!I46+DDC!I46+AMC!I46+SYSTEM!I46</f>
        <v>939.7832623365513</v>
      </c>
      <c r="J48" s="139">
        <f>UCB!J45+UCCS!J46+DDC!J46+AMC!J46+SYSTEM!J46</f>
        <v>96798895.69999999</v>
      </c>
      <c r="K48" s="200"/>
      <c r="L48" s="200">
        <f>UCB!L45+UCCS!L46+DDC!L46+AMC!L46+SYSTEM!L46</f>
        <v>952.76</v>
      </c>
      <c r="M48" s="139">
        <f>UCB!M45+UCCS!M46+DDC!M46+AMC!M46+SYSTEM!M46</f>
        <v>103121705</v>
      </c>
    </row>
    <row r="49" spans="1:13" ht="12">
      <c r="A49" s="11">
        <v>5</v>
      </c>
      <c r="C49" s="12" t="s">
        <v>13</v>
      </c>
      <c r="D49" s="29" t="s">
        <v>110</v>
      </c>
      <c r="E49" s="11">
        <v>5</v>
      </c>
      <c r="G49" s="200">
        <f>UCB!G46+UCCS!G47+DDC!G47+AMC!G47+SYSTEM!G47</f>
        <v>358.40999999999997</v>
      </c>
      <c r="H49" s="139">
        <f>UCB!H46+UCCS!H47+DDC!H47+AMC!H47+SYSTEM!H47</f>
        <v>29757939.650000002</v>
      </c>
      <c r="I49" s="200">
        <f>UCB!I46+UCCS!I47+DDC!I47+AMC!I47+SYSTEM!I47</f>
        <v>367.88387286889434</v>
      </c>
      <c r="J49" s="139">
        <f>UCB!J46+UCCS!J47+DDC!J47+AMC!J47+SYSTEM!J47</f>
        <v>32146804.399999995</v>
      </c>
      <c r="K49" s="200"/>
      <c r="L49" s="200">
        <f>UCB!L46+UCCS!L47+DDC!L47+AMC!L47+SYSTEM!L47</f>
        <v>381</v>
      </c>
      <c r="M49" s="139">
        <f>UCB!M46+UCCS!M47+DDC!M47+AMC!M47+SYSTEM!M47</f>
        <v>35964230</v>
      </c>
    </row>
    <row r="50" spans="1:13" ht="12">
      <c r="A50" s="11">
        <v>6</v>
      </c>
      <c r="C50" s="12" t="s">
        <v>14</v>
      </c>
      <c r="D50" s="29" t="s">
        <v>111</v>
      </c>
      <c r="E50" s="11">
        <v>6</v>
      </c>
      <c r="G50" s="200">
        <f>UCB!G47+UCCS!G48+DDC!G48+AMC!G48+SYSTEM!G48</f>
        <v>731.79</v>
      </c>
      <c r="H50" s="139">
        <f>UCB!H47+UCCS!H48+DDC!H48+AMC!H48+SYSTEM!H48</f>
        <v>69413931.12</v>
      </c>
      <c r="I50" s="200">
        <f>UCB!I47+UCCS!I48+DDC!I48+AMC!I48+SYSTEM!I48</f>
        <v>756.6740072911064</v>
      </c>
      <c r="J50" s="139">
        <f>UCB!J47+UCCS!J48+DDC!J48+AMC!J48+SYSTEM!J48</f>
        <v>77142076.78</v>
      </c>
      <c r="K50" s="200"/>
      <c r="L50" s="200">
        <f>UCB!L47+UCCS!L48+DDC!L48+AMC!L48+SYSTEM!L48</f>
        <v>792.0731855377276</v>
      </c>
      <c r="M50" s="139">
        <f>UCB!M47+UCCS!M48+DDC!M48+AMC!M48+SYSTEM!M48</f>
        <v>85022834</v>
      </c>
    </row>
    <row r="51" spans="1:13" ht="12">
      <c r="A51" s="11">
        <v>7</v>
      </c>
      <c r="C51" s="12" t="s">
        <v>59</v>
      </c>
      <c r="D51" s="29" t="s">
        <v>112</v>
      </c>
      <c r="E51" s="11">
        <v>7</v>
      </c>
      <c r="G51" s="200">
        <f>UCB!G48+UCCS!G49+DDC!G49+AMC!G49+SYSTEM!G49</f>
        <v>696.2799999999999</v>
      </c>
      <c r="H51" s="139">
        <f>UCB!H48+UCCS!H49+DDC!H49+AMC!H49+SYSTEM!H49</f>
        <v>81935671.80000001</v>
      </c>
      <c r="I51" s="200">
        <f>UCB!I48+UCCS!I49+DDC!I49+AMC!I49+SYSTEM!I49</f>
        <v>701.6945098784909</v>
      </c>
      <c r="J51" s="139">
        <f>UCB!J48+UCCS!J49+DDC!J49+AMC!J49+SYSTEM!J49</f>
        <v>80739861.16</v>
      </c>
      <c r="K51" s="200"/>
      <c r="L51" s="200">
        <f>UCB!L48+UCCS!L49+DDC!L49+AMC!L49+SYSTEM!L49</f>
        <v>710.47</v>
      </c>
      <c r="M51" s="139">
        <f>UCB!M48+UCCS!M49+DDC!M49+AMC!M49+SYSTEM!M49</f>
        <v>85709824</v>
      </c>
    </row>
    <row r="52" spans="1:13" ht="12">
      <c r="A52" s="11">
        <v>8</v>
      </c>
      <c r="C52" s="12" t="s">
        <v>15</v>
      </c>
      <c r="D52" s="29" t="s">
        <v>113</v>
      </c>
      <c r="E52" s="11">
        <v>8</v>
      </c>
      <c r="G52" s="200">
        <f>UCB!G49+UCCS!G50+DDC!G50+AMC!G50+SYSTEM!G50</f>
        <v>0</v>
      </c>
      <c r="H52" s="139">
        <f>UCB!H49+UCCS!H50+DDC!H50+AMC!H50+SYSTEM!H50</f>
        <v>33216315.54</v>
      </c>
      <c r="I52" s="200">
        <f>UCB!I49+UCCS!I50+DDC!I50+AMC!I50+SYSTEM!I50</f>
        <v>0</v>
      </c>
      <c r="J52" s="139">
        <f>UCB!J49+UCCS!J50+DDC!J50+AMC!J50+SYSTEM!J50</f>
        <v>41036617.11</v>
      </c>
      <c r="K52" s="200"/>
      <c r="L52" s="200">
        <f>UCB!L49+UCCS!L50+DDC!L50+AMC!L50+SYSTEM!L50</f>
        <v>0</v>
      </c>
      <c r="M52" s="139">
        <f>UCB!M49+UCCS!M50+DDC!M50+AMC!M50+SYSTEM!M50</f>
        <v>47498998</v>
      </c>
    </row>
    <row r="53" spans="1:13" ht="12">
      <c r="A53" s="11">
        <v>9</v>
      </c>
      <c r="C53" s="12" t="s">
        <v>90</v>
      </c>
      <c r="D53" s="29" t="s">
        <v>114</v>
      </c>
      <c r="E53" s="11">
        <v>9</v>
      </c>
      <c r="G53" s="200">
        <f>UCB!G50+UCCS!G51+DDC!G51+AMC!G51+SYSTEM!G51</f>
        <v>0</v>
      </c>
      <c r="H53" s="139">
        <f>UCB!H50+UCCS!H51+DDC!H51+AMC!H51+SYSTEM!H51</f>
        <v>795</v>
      </c>
      <c r="I53" s="200">
        <f>UCB!I50+UCCS!I51+DDC!I51+AMC!I51+SYSTEM!I51</f>
        <v>0</v>
      </c>
      <c r="J53" s="139">
        <f>UCB!J50+UCCS!J51+DDC!J51+AMC!J51+SYSTEM!J51</f>
        <v>6604</v>
      </c>
      <c r="K53" s="200"/>
      <c r="L53" s="200">
        <f>UCB!L50+UCCS!L51+DDC!L51+AMC!L51+SYSTEM!L51</f>
        <v>0</v>
      </c>
      <c r="M53" s="139">
        <f>UCB!M50+UCCS!M51+DDC!M51+AMC!M51+SYSTEM!M51</f>
        <v>0</v>
      </c>
    </row>
    <row r="54" spans="1:13" ht="12">
      <c r="A54" s="11">
        <v>10</v>
      </c>
      <c r="C54" s="12" t="s">
        <v>16</v>
      </c>
      <c r="D54" s="29" t="s">
        <v>89</v>
      </c>
      <c r="E54" s="11">
        <v>10</v>
      </c>
      <c r="G54" s="200">
        <f>UCB!G51+UCCS!G52+DDC!G52+AMC!G52+SYSTEM!G52</f>
        <v>0</v>
      </c>
      <c r="H54" s="139">
        <f>UCB!H51+UCCS!H52+DDC!H52+AMC!H52+SYSTEM!H52</f>
        <v>130779801.94</v>
      </c>
      <c r="I54" s="200">
        <f>UCB!I51+UCCS!I52+DDC!I52+AMC!I52+SYSTEM!I52</f>
        <v>0</v>
      </c>
      <c r="J54" s="139">
        <f>UCB!J51+UCCS!J52+DDC!J52+AMC!J52+SYSTEM!J52</f>
        <v>117987272.4</v>
      </c>
      <c r="K54" s="200"/>
      <c r="L54" s="200">
        <f>UCB!L51+UCCS!L52+DDC!L52+AMC!L52+SYSTEM!L52</f>
        <v>0</v>
      </c>
      <c r="M54" s="139">
        <f>UCB!M51+UCCS!M52+DDC!M52+AMC!M52+SYSTEM!M52</f>
        <v>105369202</v>
      </c>
    </row>
    <row r="55" spans="1:13" ht="12">
      <c r="A55" s="11"/>
      <c r="C55" s="12"/>
      <c r="D55" s="29"/>
      <c r="E55" s="11"/>
      <c r="F55" s="21" t="s">
        <v>1</v>
      </c>
      <c r="G55" s="22"/>
      <c r="H55" s="23"/>
      <c r="I55" s="22" t="s">
        <v>1</v>
      </c>
      <c r="J55" s="23"/>
      <c r="K55" s="32"/>
      <c r="L55" s="22"/>
      <c r="M55" s="23"/>
    </row>
    <row r="56" spans="1:13" ht="15" customHeight="1">
      <c r="A56" s="7">
        <v>11</v>
      </c>
      <c r="C56" s="12" t="s">
        <v>232</v>
      </c>
      <c r="E56" s="7">
        <v>11</v>
      </c>
      <c r="G56" s="200">
        <f>SUM(G45:G54)</f>
        <v>6438.3099999999995</v>
      </c>
      <c r="H56" s="139">
        <f>SUM(H45:H54)</f>
        <v>787293382.5</v>
      </c>
      <c r="I56" s="26">
        <f>SUM(I45:I54)</f>
        <v>6682.712241028597</v>
      </c>
      <c r="J56" s="27">
        <f>SUM(J45:J54)</f>
        <v>841889863.79</v>
      </c>
      <c r="K56" s="30"/>
      <c r="L56" s="26">
        <f>SUM(L45:L54)</f>
        <v>6914.483185537728</v>
      </c>
      <c r="M56" s="27">
        <f>SUM(M45:M54)</f>
        <v>895783061</v>
      </c>
    </row>
    <row r="57" spans="1:13" ht="12">
      <c r="A57" s="11"/>
      <c r="E57" s="11"/>
      <c r="F57" s="21" t="s">
        <v>1</v>
      </c>
      <c r="G57" s="22"/>
      <c r="H57" s="23"/>
      <c r="I57" s="22" t="s">
        <v>1</v>
      </c>
      <c r="J57" s="23"/>
      <c r="K57" s="32"/>
      <c r="L57" s="22"/>
      <c r="M57" s="23"/>
    </row>
    <row r="58" spans="1:13" ht="12">
      <c r="A58" s="11"/>
      <c r="E58" s="11"/>
      <c r="F58" s="21"/>
      <c r="G58" s="22"/>
      <c r="H58" s="23"/>
      <c r="I58" s="17"/>
      <c r="J58" s="23"/>
      <c r="K58" s="32"/>
      <c r="L58" s="17"/>
      <c r="M58" s="23"/>
    </row>
    <row r="59" spans="1:13" ht="12">
      <c r="A59" s="7">
        <v>12</v>
      </c>
      <c r="C59" s="12" t="s">
        <v>17</v>
      </c>
      <c r="E59" s="7">
        <v>12</v>
      </c>
      <c r="G59" s="200"/>
      <c r="H59" s="139"/>
      <c r="I59" s="48"/>
      <c r="J59" s="27"/>
      <c r="K59" s="30"/>
      <c r="L59" s="26"/>
      <c r="M59" s="27"/>
    </row>
    <row r="60" spans="1:14" ht="12">
      <c r="A60" s="11">
        <v>13</v>
      </c>
      <c r="C60" s="12" t="s">
        <v>205</v>
      </c>
      <c r="D60" s="29" t="s">
        <v>228</v>
      </c>
      <c r="E60" s="11">
        <v>13</v>
      </c>
      <c r="G60" s="200">
        <f>UCB!G56+UCCS!G58+DDC!G58+AMC!G58+SYSTEM!G58</f>
        <v>0</v>
      </c>
      <c r="H60" s="139">
        <f>UCB!H56+UCCS!H58+DDC!H58+AMC!H58+SYSTEM!H58</f>
        <v>0</v>
      </c>
      <c r="I60" s="200">
        <f>UCB!I56+UCCS!I58+DDC!I58+AMC!I58+SYSTEM!I58</f>
        <v>0</v>
      </c>
      <c r="J60" s="139">
        <f>UCB!J56+UCCS!J58+DDC!J58+AMC!J58+SYSTEM!J58</f>
        <v>8511345</v>
      </c>
      <c r="K60" s="200"/>
      <c r="L60" s="200">
        <f>UCB!L56+UCCS!L58+DDC!L58+AMC!L58+SYSTEM!L58</f>
        <v>0</v>
      </c>
      <c r="M60" s="139">
        <f>UCB!M56+UCCS!M58+DDC!M58+AMC!M58+SYSTEM!M58</f>
        <v>18943716</v>
      </c>
      <c r="N60" s="9"/>
    </row>
    <row r="61" spans="1:13" ht="12">
      <c r="A61" s="11">
        <v>14</v>
      </c>
      <c r="C61" s="12" t="s">
        <v>206</v>
      </c>
      <c r="D61" s="29" t="s">
        <v>229</v>
      </c>
      <c r="E61" s="11">
        <v>14</v>
      </c>
      <c r="G61" s="200">
        <f>UCB!G57+UCCS!G59+DDC!G59+AMC!G59+SYSTEM!G59</f>
        <v>0</v>
      </c>
      <c r="H61" s="139">
        <f>UCB!H57+UCCS!H59+DDC!H59+AMC!H59+SYSTEM!H59</f>
        <v>108782114</v>
      </c>
      <c r="I61" s="200">
        <f>UCB!I57+UCCS!I59+DDC!I59+AMC!I59+SYSTEM!I59</f>
        <v>0</v>
      </c>
      <c r="J61" s="139">
        <f>UCB!J57+UCCS!J59+DDC!J59+AMC!J59+SYSTEM!J59</f>
        <v>121334100</v>
      </c>
      <c r="K61" s="200"/>
      <c r="L61" s="200">
        <f>UCB!L57+UCCS!L59+DDC!L59+AMC!L59+SYSTEM!L59</f>
        <v>0</v>
      </c>
      <c r="M61" s="139">
        <f>UCB!M57+UCCS!M59+DDC!M59+AMC!M59+SYSTEM!M59</f>
        <v>135109404</v>
      </c>
    </row>
    <row r="62" spans="1:13" ht="12">
      <c r="A62" s="11">
        <v>15</v>
      </c>
      <c r="C62" s="12" t="s">
        <v>225</v>
      </c>
      <c r="D62" s="29"/>
      <c r="E62" s="11">
        <v>15</v>
      </c>
      <c r="G62" s="200">
        <f>UCB!G58+UCCS!G60+DDC!G60+AMC!G60+SYSTEM!G60</f>
        <v>0</v>
      </c>
      <c r="H62" s="139">
        <f>UCB!H58+UCCS!H60+DDC!H60+AMC!H60+SYSTEM!H60</f>
        <v>70053572</v>
      </c>
      <c r="I62" s="200">
        <f>UCB!I58+UCCS!I60+DDC!I60+AMC!I60+SYSTEM!I60</f>
        <v>0</v>
      </c>
      <c r="J62" s="139">
        <f>UCB!J58+UCCS!J60+DDC!J60+AMC!J60+SYSTEM!J60</f>
        <v>73634091.5</v>
      </c>
      <c r="K62" s="200"/>
      <c r="L62" s="200">
        <f>UCB!L58+UCCS!L60+DDC!L60+AMC!L60+SYSTEM!L60</f>
        <v>0</v>
      </c>
      <c r="M62" s="139">
        <f>UCB!M58+UCCS!M60+DDC!M60+AMC!M60+SYSTEM!M60</f>
        <v>73990045</v>
      </c>
    </row>
    <row r="63" spans="1:17" ht="12">
      <c r="A63" s="11">
        <v>16</v>
      </c>
      <c r="C63" s="12" t="s">
        <v>224</v>
      </c>
      <c r="D63" s="29"/>
      <c r="E63" s="11">
        <v>16</v>
      </c>
      <c r="G63" s="200">
        <f>UCB!G59+UCCS!G61+DDC!G61+AMC!G61+SYSTEM!G61</f>
        <v>27304.3</v>
      </c>
      <c r="H63" s="139">
        <f>UCB!H59+UCCS!H61+DDC!H61+AMC!H61+SYSTEM!H61</f>
        <v>152586607.98</v>
      </c>
      <c r="I63" s="200">
        <f>UCB!I59+UCCS!I61+DDC!I61+AMC!I61+SYSTEM!I61</f>
        <v>27580.73</v>
      </c>
      <c r="J63" s="139">
        <f>UCB!J59+UCCS!J61+DDC!J61+AMC!J61+SYSTEM!J61</f>
        <v>176419382.23000002</v>
      </c>
      <c r="K63" s="200"/>
      <c r="L63" s="200">
        <f>UCB!L59+UCCS!L61+DDC!L61+AMC!L61+SYSTEM!L61</f>
        <v>27934.8</v>
      </c>
      <c r="M63" s="139">
        <f>UCB!M59+UCCS!M61+DDC!M61+AMC!M61+SYSTEM!M61</f>
        <v>191018511</v>
      </c>
      <c r="Q63" s="9"/>
    </row>
    <row r="64" spans="1:256" ht="12">
      <c r="A64" s="29">
        <v>17</v>
      </c>
      <c r="B64" s="29"/>
      <c r="C64" s="33" t="s">
        <v>226</v>
      </c>
      <c r="D64" s="29"/>
      <c r="E64" s="29">
        <v>17</v>
      </c>
      <c r="F64" s="29"/>
      <c r="G64" s="200">
        <f>UCB!G60+UCCS!G62+DDC!G62+AMC!G62+SYSTEM!G62</f>
        <v>35873</v>
      </c>
      <c r="H64" s="139">
        <f>UCB!H60+UCCS!H62+DDC!H62+AMC!H62+SYSTEM!H62</f>
        <v>222640179.98</v>
      </c>
      <c r="I64" s="200">
        <f>UCB!I60+UCCS!I62+DDC!I62+AMC!I62+SYSTEM!I62</f>
        <v>36456.299999999996</v>
      </c>
      <c r="J64" s="139">
        <f>UCB!J60+UCCS!J62+DDC!J62+AMC!J62+SYSTEM!J62</f>
        <v>250053473.73000002</v>
      </c>
      <c r="K64" s="200"/>
      <c r="L64" s="200">
        <f>UCB!L60+UCCS!L62+DDC!L62+AMC!L62+SYSTEM!L62</f>
        <v>37460.4</v>
      </c>
      <c r="M64" s="139">
        <f>UCB!M60+UCCS!M62+DDC!M62+AMC!M62+SYSTEM!M62</f>
        <v>265008556</v>
      </c>
      <c r="N64" s="29"/>
      <c r="O64" s="33"/>
      <c r="P64" s="29"/>
      <c r="Q64" s="33"/>
      <c r="R64" s="29"/>
      <c r="S64" s="33"/>
      <c r="T64" s="29"/>
      <c r="U64" s="33"/>
      <c r="V64" s="29"/>
      <c r="W64" s="33"/>
      <c r="X64" s="29"/>
      <c r="Y64" s="33"/>
      <c r="Z64" s="29"/>
      <c r="AA64" s="33"/>
      <c r="AB64" s="29"/>
      <c r="AC64" s="33"/>
      <c r="AD64" s="29"/>
      <c r="AE64" s="33"/>
      <c r="AF64" s="29"/>
      <c r="AG64" s="33"/>
      <c r="AH64" s="29"/>
      <c r="AI64" s="33"/>
      <c r="AJ64" s="29"/>
      <c r="AK64" s="33"/>
      <c r="AL64" s="29"/>
      <c r="AM64" s="33"/>
      <c r="AN64" s="29"/>
      <c r="AO64" s="33"/>
      <c r="AP64" s="29"/>
      <c r="AQ64" s="33"/>
      <c r="AR64" s="29"/>
      <c r="AS64" s="33"/>
      <c r="AT64" s="29"/>
      <c r="AU64" s="33"/>
      <c r="AV64" s="29"/>
      <c r="AW64" s="33"/>
      <c r="AX64" s="29"/>
      <c r="AY64" s="33"/>
      <c r="AZ64" s="29"/>
      <c r="BA64" s="33"/>
      <c r="BB64" s="29"/>
      <c r="BC64" s="33"/>
      <c r="BD64" s="29"/>
      <c r="BE64" s="33"/>
      <c r="BF64" s="29"/>
      <c r="BG64" s="33"/>
      <c r="BH64" s="29"/>
      <c r="BI64" s="33"/>
      <c r="BJ64" s="29"/>
      <c r="BK64" s="33"/>
      <c r="BL64" s="29"/>
      <c r="BM64" s="33"/>
      <c r="BN64" s="29"/>
      <c r="BO64" s="33"/>
      <c r="BP64" s="29"/>
      <c r="BQ64" s="33"/>
      <c r="BR64" s="29"/>
      <c r="BS64" s="33"/>
      <c r="BT64" s="29"/>
      <c r="BU64" s="33"/>
      <c r="BV64" s="29"/>
      <c r="BW64" s="33"/>
      <c r="BX64" s="29"/>
      <c r="BY64" s="33"/>
      <c r="BZ64" s="29"/>
      <c r="CA64" s="33"/>
      <c r="CB64" s="29"/>
      <c r="CC64" s="33"/>
      <c r="CD64" s="29"/>
      <c r="CE64" s="33"/>
      <c r="CF64" s="29"/>
      <c r="CG64" s="33"/>
      <c r="CH64" s="29"/>
      <c r="CI64" s="33"/>
      <c r="CJ64" s="29"/>
      <c r="CK64" s="33"/>
      <c r="CL64" s="29"/>
      <c r="CM64" s="33"/>
      <c r="CN64" s="29"/>
      <c r="CO64" s="33"/>
      <c r="CP64" s="29"/>
      <c r="CQ64" s="33"/>
      <c r="CR64" s="29"/>
      <c r="CS64" s="33"/>
      <c r="CT64" s="29"/>
      <c r="CU64" s="33"/>
      <c r="CV64" s="29"/>
      <c r="CW64" s="33"/>
      <c r="CX64" s="29"/>
      <c r="CY64" s="33"/>
      <c r="CZ64" s="29"/>
      <c r="DA64" s="33"/>
      <c r="DB64" s="29"/>
      <c r="DC64" s="33"/>
      <c r="DD64" s="29"/>
      <c r="DE64" s="33"/>
      <c r="DF64" s="29"/>
      <c r="DG64" s="33"/>
      <c r="DH64" s="29"/>
      <c r="DI64" s="33"/>
      <c r="DJ64" s="29"/>
      <c r="DK64" s="33"/>
      <c r="DL64" s="29"/>
      <c r="DM64" s="33"/>
      <c r="DN64" s="29"/>
      <c r="DO64" s="33"/>
      <c r="DP64" s="29"/>
      <c r="DQ64" s="33"/>
      <c r="DR64" s="29"/>
      <c r="DS64" s="33"/>
      <c r="DT64" s="29"/>
      <c r="DU64" s="33"/>
      <c r="DV64" s="29"/>
      <c r="DW64" s="33"/>
      <c r="DX64" s="29"/>
      <c r="DY64" s="33"/>
      <c r="DZ64" s="29"/>
      <c r="EA64" s="33"/>
      <c r="EB64" s="29"/>
      <c r="EC64" s="33"/>
      <c r="ED64" s="29"/>
      <c r="EE64" s="33"/>
      <c r="EF64" s="29"/>
      <c r="EG64" s="33"/>
      <c r="EH64" s="29"/>
      <c r="EI64" s="33"/>
      <c r="EJ64" s="29"/>
      <c r="EK64" s="33"/>
      <c r="EL64" s="29"/>
      <c r="EM64" s="33"/>
      <c r="EN64" s="29"/>
      <c r="EO64" s="33"/>
      <c r="EP64" s="29"/>
      <c r="EQ64" s="33"/>
      <c r="ER64" s="29"/>
      <c r="ES64" s="33"/>
      <c r="ET64" s="29"/>
      <c r="EU64" s="33"/>
      <c r="EV64" s="29"/>
      <c r="EW64" s="33"/>
      <c r="EX64" s="29"/>
      <c r="EY64" s="33"/>
      <c r="EZ64" s="29"/>
      <c r="FA64" s="33"/>
      <c r="FB64" s="29"/>
      <c r="FC64" s="33"/>
      <c r="FD64" s="29"/>
      <c r="FE64" s="33"/>
      <c r="FF64" s="29"/>
      <c r="FG64" s="33"/>
      <c r="FH64" s="29"/>
      <c r="FI64" s="33"/>
      <c r="FJ64" s="29"/>
      <c r="FK64" s="33"/>
      <c r="FL64" s="29"/>
      <c r="FM64" s="33"/>
      <c r="FN64" s="29"/>
      <c r="FO64" s="33"/>
      <c r="FP64" s="29"/>
      <c r="FQ64" s="33"/>
      <c r="FR64" s="29"/>
      <c r="FS64" s="33"/>
      <c r="FT64" s="29"/>
      <c r="FU64" s="33"/>
      <c r="FV64" s="29"/>
      <c r="FW64" s="33"/>
      <c r="FX64" s="29"/>
      <c r="FY64" s="33"/>
      <c r="FZ64" s="29"/>
      <c r="GA64" s="33"/>
      <c r="GB64" s="29"/>
      <c r="GC64" s="33"/>
      <c r="GD64" s="29"/>
      <c r="GE64" s="33"/>
      <c r="GF64" s="29"/>
      <c r="GG64" s="33"/>
      <c r="GH64" s="29"/>
      <c r="GI64" s="33"/>
      <c r="GJ64" s="29"/>
      <c r="GK64" s="33"/>
      <c r="GL64" s="29"/>
      <c r="GM64" s="33"/>
      <c r="GN64" s="29"/>
      <c r="GO64" s="33"/>
      <c r="GP64" s="29"/>
      <c r="GQ64" s="33"/>
      <c r="GR64" s="29"/>
      <c r="GS64" s="33"/>
      <c r="GT64" s="29"/>
      <c r="GU64" s="33"/>
      <c r="GV64" s="29"/>
      <c r="GW64" s="33"/>
      <c r="GX64" s="29"/>
      <c r="GY64" s="33"/>
      <c r="GZ64" s="29"/>
      <c r="HA64" s="33"/>
      <c r="HB64" s="29"/>
      <c r="HC64" s="33"/>
      <c r="HD64" s="29"/>
      <c r="HE64" s="33"/>
      <c r="HF64" s="29"/>
      <c r="HG64" s="33"/>
      <c r="HH64" s="29"/>
      <c r="HI64" s="33"/>
      <c r="HJ64" s="29"/>
      <c r="HK64" s="33"/>
      <c r="HL64" s="29"/>
      <c r="HM64" s="33"/>
      <c r="HN64" s="29"/>
      <c r="HO64" s="33"/>
      <c r="HP64" s="29"/>
      <c r="HQ64" s="33"/>
      <c r="HR64" s="29"/>
      <c r="HS64" s="33"/>
      <c r="HT64" s="29"/>
      <c r="HU64" s="33"/>
      <c r="HV64" s="29"/>
      <c r="HW64" s="33"/>
      <c r="HX64" s="29"/>
      <c r="HY64" s="33"/>
      <c r="HZ64" s="29"/>
      <c r="IA64" s="33"/>
      <c r="IB64" s="29"/>
      <c r="IC64" s="33"/>
      <c r="ID64" s="29"/>
      <c r="IE64" s="33"/>
      <c r="IF64" s="29"/>
      <c r="IG64" s="33"/>
      <c r="IH64" s="29"/>
      <c r="II64" s="33"/>
      <c r="IJ64" s="29"/>
      <c r="IK64" s="33"/>
      <c r="IL64" s="29"/>
      <c r="IM64" s="33"/>
      <c r="IN64" s="29"/>
      <c r="IO64" s="33"/>
      <c r="IP64" s="29"/>
      <c r="IQ64" s="33"/>
      <c r="IR64" s="29"/>
      <c r="IS64" s="33"/>
      <c r="IT64" s="29"/>
      <c r="IU64" s="33"/>
      <c r="IV64" s="29"/>
    </row>
    <row r="65" spans="1:13" ht="12">
      <c r="A65" s="11">
        <v>18</v>
      </c>
      <c r="C65" s="12" t="s">
        <v>227</v>
      </c>
      <c r="D65" s="29"/>
      <c r="E65" s="11">
        <v>18</v>
      </c>
      <c r="G65" s="200">
        <f>UCB!G61+UCCS!G63+DDC!G63+AMC!G63+SYSTEM!G63</f>
        <v>4522.04</v>
      </c>
      <c r="H65" s="139">
        <f>UCB!H61+UCCS!H63+DDC!H63+AMC!H63+SYSTEM!H63</f>
        <v>74848306.95</v>
      </c>
      <c r="I65" s="200">
        <f>UCB!I61+UCCS!I63+DDC!I63+AMC!I63+SYSTEM!I63</f>
        <v>4523.9</v>
      </c>
      <c r="J65" s="139">
        <f>UCB!J61+UCCS!J63+DDC!J63+AMC!J63+SYSTEM!J63</f>
        <v>77740401.67</v>
      </c>
      <c r="K65" s="200"/>
      <c r="L65" s="200">
        <f>UCB!L61+UCCS!L63+DDC!L63+AMC!L63+SYSTEM!L63</f>
        <v>4480.5</v>
      </c>
      <c r="M65" s="139">
        <f>UCB!M61+UCCS!M63+DDC!M63+AMC!M63+SYSTEM!M63</f>
        <v>81888907</v>
      </c>
    </row>
    <row r="66" spans="1:13" ht="12">
      <c r="A66" s="11">
        <v>19</v>
      </c>
      <c r="C66" s="12" t="s">
        <v>183</v>
      </c>
      <c r="D66" s="29"/>
      <c r="E66" s="11">
        <v>19</v>
      </c>
      <c r="G66" s="200">
        <f>UCB!G62+UCCS!G64+DDC!G64+AMC!G64+SYSTEM!G64</f>
        <v>9435.76</v>
      </c>
      <c r="H66" s="139">
        <f>UCB!H62+UCCS!H64+DDC!H64+AMC!H64+SYSTEM!H64</f>
        <v>224718207.76999998</v>
      </c>
      <c r="I66" s="200">
        <f>UCB!I62+UCCS!I64+DDC!I64+AMC!I64+SYSTEM!I64</f>
        <v>9912.57</v>
      </c>
      <c r="J66" s="139">
        <f>UCB!J62+UCCS!J64+DDC!J64+AMC!J64+SYSTEM!J64</f>
        <v>236246456.86</v>
      </c>
      <c r="K66" s="200"/>
      <c r="L66" s="200">
        <f>UCB!L62+UCCS!L64+DDC!L64+AMC!L64+SYSTEM!L64</f>
        <v>10646.900000000001</v>
      </c>
      <c r="M66" s="139">
        <f>UCB!M62+UCCS!M64+DDC!M64+AMC!M64+SYSTEM!M64</f>
        <v>259102979</v>
      </c>
    </row>
    <row r="67" spans="1:13" ht="12">
      <c r="A67" s="11">
        <v>20</v>
      </c>
      <c r="C67" s="12" t="s">
        <v>160</v>
      </c>
      <c r="D67" s="29"/>
      <c r="E67" s="11">
        <v>20</v>
      </c>
      <c r="G67" s="200">
        <f>UCB!G63+UCCS!G65+DDC!G65+AMC!G65+SYSTEM!G65</f>
        <v>42343.399999999994</v>
      </c>
      <c r="H67" s="139">
        <f>UCB!H63+UCCS!H65+DDC!H65+AMC!H65+SYSTEM!H65</f>
        <v>522206694.7</v>
      </c>
      <c r="I67" s="200">
        <f>UCB!I63+UCCS!I65+DDC!I65+AMC!I65+SYSTEM!I65</f>
        <v>43330.09999999999</v>
      </c>
      <c r="J67" s="139">
        <f>UCB!J63+UCCS!J65+DDC!J65+AMC!J65+SYSTEM!J65</f>
        <v>564040332.26</v>
      </c>
      <c r="K67" s="200"/>
      <c r="L67" s="200">
        <f>UCB!L63+UCCS!L65+DDC!L65+AMC!L65+SYSTEM!L65</f>
        <v>44383.799999999996</v>
      </c>
      <c r="M67" s="139">
        <f>UCB!M63+UCCS!M65+DDC!M65+AMC!M65+SYSTEM!M65</f>
        <v>606000442</v>
      </c>
    </row>
    <row r="68" spans="1:13" ht="12">
      <c r="A68" s="11">
        <v>21</v>
      </c>
      <c r="C68" s="12" t="s">
        <v>220</v>
      </c>
      <c r="D68" s="29"/>
      <c r="E68" s="11">
        <v>21</v>
      </c>
      <c r="G68" s="200">
        <f>UCB!G64+UCCS!G66+DDC!G66+AMC!G66+SYSTEM!G66</f>
        <v>0</v>
      </c>
      <c r="H68" s="139">
        <f>UCB!H64+UCCS!H66+DDC!H66+AMC!H66+SYSTEM!H66</f>
        <v>6141647.510000001</v>
      </c>
      <c r="I68" s="200">
        <f>UCB!I64+UCCS!I66+DDC!I66+AMC!I66+SYSTEM!I66</f>
        <v>0</v>
      </c>
      <c r="J68" s="139">
        <f>UCB!J64+UCCS!J66+DDC!J66+AMC!J66+SYSTEM!J66</f>
        <v>5263185.180000001</v>
      </c>
      <c r="K68" s="200"/>
      <c r="L68" s="200">
        <f>UCB!L64+UCCS!L66+DDC!L66+AMC!L66+SYSTEM!L66</f>
        <v>0</v>
      </c>
      <c r="M68" s="139">
        <f>UCB!M64+UCCS!M66+DDC!M66+AMC!M66+SYSTEM!M66</f>
        <v>20122482</v>
      </c>
    </row>
    <row r="69" spans="1:13" ht="12">
      <c r="A69" s="11">
        <v>22</v>
      </c>
      <c r="C69" s="34"/>
      <c r="E69" s="11">
        <v>22</v>
      </c>
      <c r="F69" s="21" t="s">
        <v>1</v>
      </c>
      <c r="G69" s="21"/>
      <c r="H69" s="23"/>
      <c r="I69" s="22"/>
      <c r="J69" s="23"/>
      <c r="K69" s="32"/>
      <c r="L69" s="22"/>
      <c r="M69" s="23"/>
    </row>
    <row r="70" spans="1:13" ht="12">
      <c r="A70" s="11">
        <v>23</v>
      </c>
      <c r="C70" s="7" t="s">
        <v>187</v>
      </c>
      <c r="D70" s="35"/>
      <c r="E70" s="11">
        <v>23</v>
      </c>
      <c r="F70" s="36"/>
      <c r="G70" s="37"/>
      <c r="H70" s="27">
        <f>UCB!H66+UCCS!H68+DDC!H68+AMC!H68+SYSTEM!H68</f>
        <v>637130456.2099999</v>
      </c>
      <c r="I70" s="27"/>
      <c r="J70" s="27">
        <f>UCB!J66+UCCS!J68+DDC!J68+AMC!J68+SYSTEM!J68</f>
        <v>699148962.44</v>
      </c>
      <c r="K70" s="27"/>
      <c r="L70" s="27"/>
      <c r="M70" s="27">
        <f>UCB!M66+UCCS!M68+DDC!M68+AMC!M68+SYSTEM!M68</f>
        <v>780176044</v>
      </c>
    </row>
    <row r="71" spans="1:12" ht="12">
      <c r="A71" s="11">
        <v>24</v>
      </c>
      <c r="C71" s="34"/>
      <c r="D71" s="12"/>
      <c r="E71" s="11">
        <v>24</v>
      </c>
      <c r="H71" s="27"/>
      <c r="L71" s="9"/>
    </row>
    <row r="72" spans="1:13" ht="12">
      <c r="A72" s="11">
        <v>25</v>
      </c>
      <c r="C72" s="12" t="s">
        <v>199</v>
      </c>
      <c r="D72" s="29"/>
      <c r="E72" s="11">
        <v>25</v>
      </c>
      <c r="G72" s="30"/>
      <c r="H72" s="27">
        <f>UCB!H68+UCCS!H70+DDC!H70+AMC!H70+SYSTEM!H70</f>
        <v>150162925.88</v>
      </c>
      <c r="I72" s="139"/>
      <c r="J72" s="139">
        <f>UCB!J68+UCCS!J70+DDC!J70+AMC!J70+SYSTEM!J70</f>
        <v>142740902.03</v>
      </c>
      <c r="K72" s="139"/>
      <c r="L72" s="139"/>
      <c r="M72" s="139">
        <f>UCB!M68+UCCS!M70+DDC!M70+AMC!M70+SYSTEM!M70</f>
        <v>115607017</v>
      </c>
    </row>
    <row r="73" spans="1:13" ht="12">
      <c r="A73" s="7">
        <v>26</v>
      </c>
      <c r="E73" s="7">
        <v>26</v>
      </c>
      <c r="F73" s="21" t="s">
        <v>1</v>
      </c>
      <c r="G73" s="21"/>
      <c r="H73" s="23"/>
      <c r="I73" s="22"/>
      <c r="J73" s="23"/>
      <c r="K73" s="32"/>
      <c r="L73" s="22"/>
      <c r="M73" s="23"/>
    </row>
    <row r="74" spans="1:13" ht="15" customHeight="1">
      <c r="A74" s="11">
        <v>27</v>
      </c>
      <c r="C74" s="12" t="s">
        <v>233</v>
      </c>
      <c r="E74" s="11">
        <v>27</v>
      </c>
      <c r="F74" s="5"/>
      <c r="G74" s="31"/>
      <c r="H74" s="27">
        <f>SUM(H70,H72)</f>
        <v>787293382.0899999</v>
      </c>
      <c r="I74" s="31"/>
      <c r="J74" s="27">
        <f>SUM(J70,J72)</f>
        <v>841889864.47</v>
      </c>
      <c r="K74" s="31"/>
      <c r="L74" s="31"/>
      <c r="M74" s="27">
        <f>SUM(M70,M72)</f>
        <v>895783061</v>
      </c>
    </row>
    <row r="75" spans="6:13" ht="12">
      <c r="F75" s="21"/>
      <c r="G75" s="21"/>
      <c r="H75" s="23"/>
      <c r="I75" s="22"/>
      <c r="J75" s="23"/>
      <c r="K75" s="32"/>
      <c r="L75" s="22"/>
      <c r="M75" s="23"/>
    </row>
    <row r="76" spans="6:13" ht="12">
      <c r="F76" s="21"/>
      <c r="G76" s="21"/>
      <c r="H76" s="21"/>
      <c r="I76" s="22"/>
      <c r="J76" s="23"/>
      <c r="K76" s="32"/>
      <c r="L76" s="22"/>
      <c r="M76" s="23"/>
    </row>
    <row r="77" spans="1:13" ht="12">
      <c r="A77" s="38"/>
      <c r="B77" s="38"/>
      <c r="C77" s="38" t="s">
        <v>91</v>
      </c>
      <c r="D77" s="39"/>
      <c r="E77" s="38"/>
      <c r="F77" s="40"/>
      <c r="G77" s="40"/>
      <c r="H77" s="40"/>
      <c r="I77" s="41"/>
      <c r="J77" s="42"/>
      <c r="K77" s="43"/>
      <c r="L77" s="41"/>
      <c r="M77" s="44"/>
    </row>
    <row r="78" spans="1:6" s="140" customFormat="1" ht="12">
      <c r="A78" s="141" t="s">
        <v>688</v>
      </c>
      <c r="B78" s="141"/>
      <c r="E78" s="145"/>
      <c r="F78" s="145"/>
    </row>
    <row r="79" s="140" customFormat="1" ht="12">
      <c r="H79" s="147"/>
    </row>
    <row r="80" ht="12">
      <c r="A80" s="46"/>
    </row>
    <row r="81" spans="1:13" ht="12">
      <c r="A81" s="19"/>
      <c r="B81" s="46"/>
      <c r="C81" s="46"/>
      <c r="D81" s="46"/>
      <c r="E81" s="51"/>
      <c r="F81" s="46"/>
      <c r="G81" s="46"/>
      <c r="H81" s="46"/>
      <c r="I81" s="52"/>
      <c r="J81" s="53"/>
      <c r="K81" s="46"/>
      <c r="L81" s="52"/>
      <c r="M81" s="18" t="s">
        <v>254</v>
      </c>
    </row>
    <row r="82" spans="1:13" ht="12">
      <c r="A82" s="262" t="s">
        <v>261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</row>
    <row r="83" spans="1:13" ht="12">
      <c r="A83" s="19" t="str">
        <f>$A$40</f>
        <v>NAME: </v>
      </c>
      <c r="C83" s="7" t="s">
        <v>663</v>
      </c>
      <c r="J83" s="55"/>
      <c r="L83" s="17"/>
      <c r="M83" s="20" t="str">
        <f>$M$3</f>
        <v>Date: 10/1/2008</v>
      </c>
    </row>
    <row r="84" spans="1:13" ht="12">
      <c r="A84" s="21" t="s">
        <v>1</v>
      </c>
      <c r="B84" s="21" t="s">
        <v>1</v>
      </c>
      <c r="C84" s="21" t="s">
        <v>1</v>
      </c>
      <c r="D84" s="21" t="s">
        <v>1</v>
      </c>
      <c r="E84" s="21" t="s">
        <v>1</v>
      </c>
      <c r="F84" s="21" t="s">
        <v>1</v>
      </c>
      <c r="G84" s="21"/>
      <c r="H84" s="21"/>
      <c r="I84" s="22" t="s">
        <v>1</v>
      </c>
      <c r="J84" s="23" t="s">
        <v>1</v>
      </c>
      <c r="K84" s="21" t="s">
        <v>1</v>
      </c>
      <c r="L84" s="22" t="s">
        <v>1</v>
      </c>
      <c r="M84" s="23" t="s">
        <v>1</v>
      </c>
    </row>
    <row r="85" spans="1:13" ht="12">
      <c r="A85" s="24" t="s">
        <v>2</v>
      </c>
      <c r="E85" s="24" t="s">
        <v>2</v>
      </c>
      <c r="F85" s="25"/>
      <c r="G85" s="25"/>
      <c r="H85" s="25" t="s">
        <v>249</v>
      </c>
      <c r="I85" s="26"/>
      <c r="J85" s="27" t="s">
        <v>251</v>
      </c>
      <c r="K85" s="25"/>
      <c r="L85" s="26"/>
      <c r="M85" s="27" t="s">
        <v>260</v>
      </c>
    </row>
    <row r="86" spans="1:13" ht="12">
      <c r="A86" s="24" t="s">
        <v>4</v>
      </c>
      <c r="C86" s="28" t="s">
        <v>20</v>
      </c>
      <c r="E86" s="24" t="s">
        <v>4</v>
      </c>
      <c r="F86" s="25"/>
      <c r="G86" s="25"/>
      <c r="H86" s="25" t="s">
        <v>7</v>
      </c>
      <c r="I86" s="26"/>
      <c r="J86" s="27" t="s">
        <v>7</v>
      </c>
      <c r="K86" s="25"/>
      <c r="L86" s="26"/>
      <c r="M86" s="27" t="s">
        <v>8</v>
      </c>
    </row>
    <row r="87" spans="1:13" ht="12">
      <c r="A87" s="21" t="s">
        <v>1</v>
      </c>
      <c r="B87" s="21" t="s">
        <v>1</v>
      </c>
      <c r="C87" s="21" t="s">
        <v>1</v>
      </c>
      <c r="D87" s="21" t="s">
        <v>1</v>
      </c>
      <c r="E87" s="21" t="s">
        <v>1</v>
      </c>
      <c r="F87" s="21" t="s">
        <v>1</v>
      </c>
      <c r="G87" s="21"/>
      <c r="H87" s="21"/>
      <c r="I87" s="22" t="s">
        <v>1</v>
      </c>
      <c r="J87" s="23" t="s">
        <v>1</v>
      </c>
      <c r="K87" s="21" t="s">
        <v>1</v>
      </c>
      <c r="L87" s="22" t="s">
        <v>1</v>
      </c>
      <c r="M87" s="23" t="s">
        <v>1</v>
      </c>
    </row>
    <row r="88" spans="1:5" ht="12">
      <c r="A88" s="7">
        <v>1</v>
      </c>
      <c r="C88" s="7" t="s">
        <v>201</v>
      </c>
      <c r="E88" s="7">
        <v>1</v>
      </c>
    </row>
    <row r="89" spans="1:5" ht="12">
      <c r="A89" s="7">
        <v>2</v>
      </c>
      <c r="C89" s="7" t="s">
        <v>191</v>
      </c>
      <c r="E89" s="7">
        <v>2</v>
      </c>
    </row>
    <row r="90" spans="1:5" ht="12">
      <c r="A90" s="7">
        <v>3</v>
      </c>
      <c r="C90" s="7" t="s">
        <v>192</v>
      </c>
      <c r="E90" s="7">
        <v>3</v>
      </c>
    </row>
    <row r="91" spans="1:5" ht="12">
      <c r="A91" s="7">
        <v>7</v>
      </c>
      <c r="C91" s="7" t="s">
        <v>193</v>
      </c>
      <c r="E91" s="7">
        <v>7</v>
      </c>
    </row>
    <row r="92" spans="1:13" ht="12">
      <c r="A92" s="7">
        <v>8</v>
      </c>
      <c r="C92" s="7" t="s">
        <v>194</v>
      </c>
      <c r="E92" s="7">
        <v>8</v>
      </c>
      <c r="H92" s="6">
        <v>45343871</v>
      </c>
      <c r="I92" s="4"/>
      <c r="J92" s="6">
        <v>60542191</v>
      </c>
      <c r="K92" s="3"/>
      <c r="L92" s="4"/>
      <c r="M92" s="6">
        <v>66074829</v>
      </c>
    </row>
    <row r="93" spans="1:13" ht="12">
      <c r="A93" s="7">
        <v>9</v>
      </c>
      <c r="C93" s="7" t="s">
        <v>195</v>
      </c>
      <c r="E93" s="7">
        <v>9</v>
      </c>
      <c r="H93" s="6"/>
      <c r="I93" s="4"/>
      <c r="J93" s="6"/>
      <c r="K93" s="3"/>
      <c r="L93" s="4"/>
      <c r="M93" s="6"/>
    </row>
    <row r="94" spans="1:13" ht="12">
      <c r="A94" s="7">
        <v>10</v>
      </c>
      <c r="C94" s="7" t="s">
        <v>196</v>
      </c>
      <c r="E94" s="7">
        <v>10</v>
      </c>
      <c r="H94" s="6">
        <v>60171682</v>
      </c>
      <c r="I94" s="4"/>
      <c r="J94" s="6">
        <v>61368920</v>
      </c>
      <c r="K94" s="3"/>
      <c r="L94" s="4"/>
      <c r="M94" s="6">
        <v>65498980</v>
      </c>
    </row>
    <row r="95" spans="1:13" ht="12">
      <c r="A95" s="7">
        <v>11</v>
      </c>
      <c r="C95" s="7" t="s">
        <v>197</v>
      </c>
      <c r="E95" s="7">
        <v>11</v>
      </c>
      <c r="H95" s="3"/>
      <c r="I95" s="4"/>
      <c r="J95" s="6"/>
      <c r="K95" s="3"/>
      <c r="L95" s="4"/>
      <c r="M95" s="6"/>
    </row>
    <row r="96" spans="3:13" ht="12">
      <c r="C96" s="7" t="s">
        <v>198</v>
      </c>
      <c r="E96" s="50"/>
      <c r="H96" s="3"/>
      <c r="I96" s="4"/>
      <c r="J96" s="6"/>
      <c r="K96" s="3"/>
      <c r="L96" s="4"/>
      <c r="M96" s="6"/>
    </row>
    <row r="97" spans="1:13" ht="12">
      <c r="A97" s="7">
        <v>12</v>
      </c>
      <c r="C97" s="7" t="s">
        <v>202</v>
      </c>
      <c r="E97" s="50">
        <v>12</v>
      </c>
      <c r="H97" s="6">
        <f>SUM(H88:H95)</f>
        <v>105515553</v>
      </c>
      <c r="I97" s="4"/>
      <c r="J97" s="6">
        <f>SUM(J88:J95)</f>
        <v>121911111</v>
      </c>
      <c r="K97" s="3"/>
      <c r="L97" s="4"/>
      <c r="M97" s="6">
        <f>SUM(M88:M95)</f>
        <v>131573809</v>
      </c>
    </row>
    <row r="98" spans="5:10" ht="12">
      <c r="E98" s="50"/>
      <c r="J98" s="196"/>
    </row>
    <row r="99" ht="12">
      <c r="E99" s="50"/>
    </row>
    <row r="100" ht="12">
      <c r="E100" s="50"/>
    </row>
    <row r="101" ht="12">
      <c r="E101" s="50"/>
    </row>
    <row r="102" ht="12">
      <c r="E102" s="50"/>
    </row>
    <row r="103" ht="12">
      <c r="E103" s="50"/>
    </row>
    <row r="104" ht="12">
      <c r="E104" s="50"/>
    </row>
    <row r="105" ht="12">
      <c r="E105" s="50"/>
    </row>
    <row r="106" ht="12">
      <c r="E106" s="50"/>
    </row>
    <row r="107" ht="12">
      <c r="E107" s="50"/>
    </row>
    <row r="108" ht="12">
      <c r="E108" s="50"/>
    </row>
    <row r="109" ht="12">
      <c r="E109" s="50"/>
    </row>
    <row r="110" spans="3:5" ht="12">
      <c r="C110" s="7" t="s">
        <v>200</v>
      </c>
      <c r="E110" s="50"/>
    </row>
    <row r="111" ht="12">
      <c r="E111" s="50"/>
    </row>
    <row r="112" spans="2:6" ht="12.75">
      <c r="B112" s="56"/>
      <c r="C112" s="57"/>
      <c r="D112" s="58"/>
      <c r="E112" s="58"/>
      <c r="F112" s="58"/>
    </row>
    <row r="113" spans="2:6" ht="12.75">
      <c r="B113" s="56"/>
      <c r="C113" s="57"/>
      <c r="D113" s="58"/>
      <c r="E113" s="58"/>
      <c r="F113" s="58"/>
    </row>
    <row r="114" ht="12">
      <c r="E114" s="50"/>
    </row>
    <row r="115" ht="12">
      <c r="E115" s="50"/>
    </row>
    <row r="116" ht="12">
      <c r="E116" s="50"/>
    </row>
    <row r="117" ht="12">
      <c r="E117" s="50"/>
    </row>
    <row r="118" ht="12">
      <c r="E118" s="50"/>
    </row>
    <row r="119" ht="12">
      <c r="E119" s="50"/>
    </row>
    <row r="120" ht="12">
      <c r="E120" s="50"/>
    </row>
    <row r="121" ht="12">
      <c r="E121" s="50"/>
    </row>
    <row r="122" ht="12">
      <c r="E122" s="50"/>
    </row>
    <row r="123" ht="12">
      <c r="E123" s="50"/>
    </row>
    <row r="124" ht="12">
      <c r="E124" s="50"/>
    </row>
  </sheetData>
  <sheetProtection/>
  <mergeCells count="7">
    <mergeCell ref="A39:M39"/>
    <mergeCell ref="A82:M82"/>
    <mergeCell ref="A5:M5"/>
    <mergeCell ref="A8:M8"/>
    <mergeCell ref="A9:M9"/>
    <mergeCell ref="A20:M20"/>
    <mergeCell ref="A36:M36"/>
  </mergeCells>
  <printOptions/>
  <pageMargins left="0.75" right="0.5" top="1" bottom="1" header="0.5" footer="0.24"/>
  <pageSetup fitToHeight="3" horizontalDpi="600" verticalDpi="600" orientation="landscape" scale="70" r:id="rId1"/>
  <rowBreaks count="2" manualBreakCount="2">
    <brk id="37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0"/>
  <sheetViews>
    <sheetView showGridLines="0" zoomScale="75" zoomScaleNormal="75" zoomScaleSheetLayoutView="75" zoomScalePageLayoutView="0" workbookViewId="0" topLeftCell="A994">
      <selection activeCell="N982" sqref="N982"/>
    </sheetView>
  </sheetViews>
  <sheetFormatPr defaultColWidth="9.625" defaultRowHeight="12.75"/>
  <cols>
    <col min="1" max="1" width="7.625" style="7" customWidth="1"/>
    <col min="2" max="2" width="1.875" style="7" customWidth="1"/>
    <col min="3" max="3" width="33.00390625" style="7" customWidth="1"/>
    <col min="4" max="4" width="24.125" style="7" customWidth="1"/>
    <col min="5" max="6" width="8.125" style="7" customWidth="1"/>
    <col min="7" max="7" width="10.625" style="7" customWidth="1"/>
    <col min="8" max="8" width="13.625" style="7" customWidth="1"/>
    <col min="9" max="9" width="10.625" style="7" customWidth="1"/>
    <col min="10" max="10" width="13.625" style="7" customWidth="1"/>
    <col min="11" max="12" width="8.75390625" style="7" customWidth="1"/>
    <col min="13" max="13" width="13.625" style="7" customWidth="1"/>
    <col min="14" max="14" width="13.75390625" style="7" bestFit="1" customWidth="1"/>
    <col min="15" max="16384" width="9.625" style="7" customWidth="1"/>
  </cols>
  <sheetData>
    <row r="1" spans="11:16" ht="12">
      <c r="K1" s="8"/>
      <c r="L1" s="8"/>
      <c r="M1" s="9"/>
      <c r="O1" s="8"/>
      <c r="P1" s="9"/>
    </row>
    <row r="2" spans="11:15" ht="12">
      <c r="K2" s="8"/>
      <c r="L2" s="8"/>
      <c r="M2" s="9"/>
      <c r="O2" s="8"/>
    </row>
    <row r="3" spans="11:15" ht="12">
      <c r="K3" s="8"/>
      <c r="L3" s="8"/>
      <c r="M3" s="10" t="s">
        <v>147</v>
      </c>
      <c r="O3" s="8"/>
    </row>
    <row r="4" spans="11:16" ht="12">
      <c r="K4" s="8"/>
      <c r="L4" s="8"/>
      <c r="M4" s="195" t="s">
        <v>255</v>
      </c>
      <c r="O4" s="8"/>
      <c r="P4" s="9"/>
    </row>
    <row r="5" spans="1:16" ht="45">
      <c r="A5" s="148" t="s">
        <v>146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1:16" ht="12">
      <c r="K6" s="8"/>
      <c r="L6" s="8"/>
      <c r="M6" s="9"/>
      <c r="O6" s="8"/>
      <c r="P6" s="9"/>
    </row>
    <row r="7" spans="11:16" ht="12">
      <c r="K7" s="8"/>
      <c r="L7" s="8"/>
      <c r="M7" s="9"/>
      <c r="O7" s="8"/>
      <c r="P7" s="9"/>
    </row>
    <row r="8" spans="1:16" s="45" customFormat="1" ht="33">
      <c r="A8" s="191" t="s">
        <v>256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s="45" customFormat="1" ht="33">
      <c r="A9" s="191" t="s">
        <v>257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  <row r="10" spans="11:16" ht="12">
      <c r="K10" s="8"/>
      <c r="L10" s="8"/>
      <c r="M10" s="9"/>
      <c r="O10" s="8"/>
      <c r="P10" s="9"/>
    </row>
    <row r="11" spans="11:16" ht="12">
      <c r="K11" s="8"/>
      <c r="L11" s="8"/>
      <c r="M11" s="9"/>
      <c r="O11" s="8"/>
      <c r="P11" s="9"/>
    </row>
    <row r="12" spans="11:16" ht="12">
      <c r="K12" s="8"/>
      <c r="L12" s="8"/>
      <c r="M12" s="9"/>
      <c r="O12" s="8"/>
      <c r="P12" s="9"/>
    </row>
    <row r="13" spans="11:16" ht="12">
      <c r="K13" s="8"/>
      <c r="L13" s="8"/>
      <c r="M13" s="9"/>
      <c r="O13" s="8"/>
      <c r="P13" s="9"/>
    </row>
    <row r="14" spans="11:16" ht="12">
      <c r="K14" s="8"/>
      <c r="L14" s="8"/>
      <c r="M14" s="9"/>
      <c r="O14" s="8"/>
      <c r="P14" s="9"/>
    </row>
    <row r="15" spans="11:16" ht="12">
      <c r="K15" s="8"/>
      <c r="L15" s="8"/>
      <c r="M15" s="9"/>
      <c r="O15" s="8"/>
      <c r="P15" s="9"/>
    </row>
    <row r="16" spans="11:16" ht="12">
      <c r="K16" s="8"/>
      <c r="L16" s="8"/>
      <c r="M16" s="9"/>
      <c r="O16" s="8"/>
      <c r="P16" s="9"/>
    </row>
    <row r="17" spans="11:16" ht="12">
      <c r="K17" s="8"/>
      <c r="L17" s="8"/>
      <c r="M17" s="9"/>
      <c r="O17" s="8"/>
      <c r="P17" s="9"/>
    </row>
    <row r="18" spans="11:16" ht="12">
      <c r="K18" s="8"/>
      <c r="L18" s="8"/>
      <c r="M18" s="9"/>
      <c r="O18" s="8"/>
      <c r="P18" s="9"/>
    </row>
    <row r="19" spans="11:16" ht="12">
      <c r="K19" s="8"/>
      <c r="L19" s="8"/>
      <c r="M19" s="9"/>
      <c r="O19" s="8"/>
      <c r="P19" s="9"/>
    </row>
    <row r="20" spans="1:16" ht="45">
      <c r="A20" s="265" t="s">
        <v>661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192"/>
      <c r="O20" s="192"/>
      <c r="P20" s="192"/>
    </row>
    <row r="21" spans="11:16" ht="12">
      <c r="K21" s="8"/>
      <c r="L21" s="8"/>
      <c r="M21" s="9"/>
      <c r="O21" s="8"/>
      <c r="P21" s="9"/>
    </row>
    <row r="22" spans="11:16" ht="12">
      <c r="K22" s="8"/>
      <c r="L22" s="8"/>
      <c r="M22" s="9"/>
      <c r="O22" s="8"/>
      <c r="P22" s="9"/>
    </row>
    <row r="23" spans="11:16" ht="12">
      <c r="K23" s="8"/>
      <c r="L23" s="8"/>
      <c r="M23" s="9"/>
      <c r="O23" s="8"/>
      <c r="P23" s="9"/>
    </row>
    <row r="24" spans="11:16" ht="12">
      <c r="K24" s="8"/>
      <c r="L24" s="8"/>
      <c r="M24" s="9"/>
      <c r="O24" s="8"/>
      <c r="P24" s="9"/>
    </row>
    <row r="25" spans="11:16" ht="12">
      <c r="K25" s="8"/>
      <c r="L25" s="8"/>
      <c r="M25" s="9"/>
      <c r="O25" s="8"/>
      <c r="P25" s="9"/>
    </row>
    <row r="26" spans="11:16" ht="12">
      <c r="K26" s="8"/>
      <c r="L26" s="8"/>
      <c r="M26" s="9"/>
      <c r="O26" s="8"/>
      <c r="P26" s="9"/>
    </row>
    <row r="27" spans="11:16" ht="12">
      <c r="K27" s="8"/>
      <c r="L27" s="8"/>
      <c r="M27" s="9"/>
      <c r="O27" s="8"/>
      <c r="P27" s="9"/>
    </row>
    <row r="28" spans="11:16" ht="12">
      <c r="K28" s="8"/>
      <c r="L28" s="8"/>
      <c r="M28" s="9"/>
      <c r="O28" s="8"/>
      <c r="P28" s="9"/>
    </row>
    <row r="29" spans="11:16" ht="12">
      <c r="K29" s="8"/>
      <c r="L29" s="8"/>
      <c r="M29" s="9"/>
      <c r="O29" s="8"/>
      <c r="P29" s="9"/>
    </row>
    <row r="30" spans="11:16" ht="12">
      <c r="K30" s="8"/>
      <c r="L30" s="8"/>
      <c r="M30" s="9"/>
      <c r="O30" s="8"/>
      <c r="P30" s="9"/>
    </row>
    <row r="31" spans="11:16" ht="12">
      <c r="K31" s="8"/>
      <c r="L31" s="8"/>
      <c r="M31" s="9"/>
      <c r="O31" s="8"/>
      <c r="P31" s="9"/>
    </row>
    <row r="32" spans="11:16" ht="12">
      <c r="K32" s="8"/>
      <c r="L32" s="8"/>
      <c r="M32" s="9"/>
      <c r="O32" s="8"/>
      <c r="P32" s="9"/>
    </row>
    <row r="33" spans="3:18" ht="27">
      <c r="C33" s="204" t="s">
        <v>258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</row>
    <row r="34" spans="11:16" ht="12">
      <c r="K34" s="8"/>
      <c r="L34" s="8"/>
      <c r="M34" s="9"/>
      <c r="O34" s="8"/>
      <c r="P34" s="9"/>
    </row>
    <row r="35" spans="1:13" ht="12">
      <c r="A35" s="16" t="s">
        <v>291</v>
      </c>
      <c r="B35" s="16"/>
      <c r="G35" s="68"/>
      <c r="I35" s="68"/>
      <c r="M35" s="146" t="s">
        <v>18</v>
      </c>
    </row>
    <row r="36" spans="1:13" ht="12">
      <c r="A36" s="267" t="s">
        <v>19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3" ht="12">
      <c r="A37" s="16" t="s">
        <v>292</v>
      </c>
      <c r="B37" s="16"/>
      <c r="G37" s="68"/>
      <c r="I37" s="68"/>
      <c r="K37" s="59"/>
      <c r="L37" s="59"/>
      <c r="M37" s="207" t="s">
        <v>293</v>
      </c>
    </row>
    <row r="38" spans="1:13" ht="12">
      <c r="A38" s="21" t="s">
        <v>1</v>
      </c>
      <c r="B38" s="21"/>
      <c r="C38" s="21" t="s">
        <v>1</v>
      </c>
      <c r="D38" s="21" t="s">
        <v>1</v>
      </c>
      <c r="E38" s="21" t="s">
        <v>1</v>
      </c>
      <c r="F38" s="21"/>
      <c r="G38" s="90" t="s">
        <v>1</v>
      </c>
      <c r="H38" s="21" t="s">
        <v>1</v>
      </c>
      <c r="I38" s="90" t="s">
        <v>1</v>
      </c>
      <c r="J38" s="21" t="s">
        <v>1</v>
      </c>
      <c r="K38" s="21" t="s">
        <v>1</v>
      </c>
      <c r="L38" s="21"/>
      <c r="M38" s="21" t="s">
        <v>1</v>
      </c>
    </row>
    <row r="39" spans="1:13" ht="12">
      <c r="A39" s="24" t="s">
        <v>2</v>
      </c>
      <c r="B39" s="24"/>
      <c r="C39" s="12" t="s">
        <v>3</v>
      </c>
      <c r="E39" s="24" t="s">
        <v>2</v>
      </c>
      <c r="F39" s="24"/>
      <c r="G39" s="142"/>
      <c r="H39" s="130" t="s">
        <v>249</v>
      </c>
      <c r="I39" s="142"/>
      <c r="J39" s="130" t="s">
        <v>251</v>
      </c>
      <c r="L39" s="142"/>
      <c r="M39" s="130" t="s">
        <v>260</v>
      </c>
    </row>
    <row r="40" spans="1:13" ht="12">
      <c r="A40" s="24" t="s">
        <v>4</v>
      </c>
      <c r="B40" s="24"/>
      <c r="C40" s="28" t="s">
        <v>5</v>
      </c>
      <c r="E40" s="24" t="s">
        <v>4</v>
      </c>
      <c r="F40" s="24"/>
      <c r="G40" s="142" t="s">
        <v>6</v>
      </c>
      <c r="H40" s="130" t="s">
        <v>7</v>
      </c>
      <c r="I40" s="142" t="s">
        <v>6</v>
      </c>
      <c r="J40" s="130" t="s">
        <v>7</v>
      </c>
      <c r="L40" s="149" t="s">
        <v>6</v>
      </c>
      <c r="M40" s="130" t="s">
        <v>8</v>
      </c>
    </row>
    <row r="41" spans="1:13" ht="12">
      <c r="A41" s="21" t="s">
        <v>1</v>
      </c>
      <c r="B41" s="21"/>
      <c r="C41" s="21" t="s">
        <v>1</v>
      </c>
      <c r="D41" s="21" t="s">
        <v>1</v>
      </c>
      <c r="E41" s="21" t="s">
        <v>1</v>
      </c>
      <c r="F41" s="21"/>
      <c r="G41" s="90" t="s">
        <v>1</v>
      </c>
      <c r="H41" s="21" t="s">
        <v>1</v>
      </c>
      <c r="I41" s="90" t="s">
        <v>1</v>
      </c>
      <c r="J41" s="21" t="s">
        <v>1</v>
      </c>
      <c r="K41" s="21" t="s">
        <v>1</v>
      </c>
      <c r="L41" s="21" t="s">
        <v>1</v>
      </c>
      <c r="M41" s="21" t="s">
        <v>1</v>
      </c>
    </row>
    <row r="42" spans="1:13" ht="12">
      <c r="A42" s="11">
        <v>1</v>
      </c>
      <c r="B42" s="11"/>
      <c r="C42" s="12" t="s">
        <v>9</v>
      </c>
      <c r="D42" s="29" t="s">
        <v>294</v>
      </c>
      <c r="E42" s="11">
        <v>1</v>
      </c>
      <c r="F42" s="11"/>
      <c r="G42" s="68">
        <f aca="true" t="shared" si="0" ref="G42:M42">G505</f>
        <v>2041.1</v>
      </c>
      <c r="H42" s="59">
        <f t="shared" si="0"/>
        <v>204928899.22</v>
      </c>
      <c r="I42" s="68">
        <f t="shared" si="0"/>
        <v>2132.9</v>
      </c>
      <c r="J42" s="59">
        <f t="shared" si="0"/>
        <v>225028994.87</v>
      </c>
      <c r="L42" s="68">
        <f>L505</f>
        <v>2205</v>
      </c>
      <c r="M42" s="59">
        <f t="shared" si="0"/>
        <v>245248389</v>
      </c>
    </row>
    <row r="43" spans="1:13" ht="12">
      <c r="A43" s="11">
        <v>2</v>
      </c>
      <c r="B43" s="11"/>
      <c r="C43" s="12" t="s">
        <v>10</v>
      </c>
      <c r="D43" s="29" t="s">
        <v>295</v>
      </c>
      <c r="E43" s="11">
        <v>2</v>
      </c>
      <c r="F43" s="11"/>
      <c r="G43" s="68">
        <f aca="true" t="shared" si="1" ref="G43:M43">G543</f>
        <v>47.8</v>
      </c>
      <c r="H43" s="59">
        <f t="shared" si="1"/>
        <v>7682283.87</v>
      </c>
      <c r="I43" s="68">
        <f t="shared" si="1"/>
        <v>48.900000000000006</v>
      </c>
      <c r="J43" s="59">
        <f t="shared" si="1"/>
        <v>8024212.56</v>
      </c>
      <c r="L43" s="68">
        <f>L543</f>
        <v>50.1</v>
      </c>
      <c r="M43" s="59">
        <f t="shared" si="1"/>
        <v>8729022</v>
      </c>
    </row>
    <row r="44" spans="1:13" ht="12">
      <c r="A44" s="11">
        <v>3</v>
      </c>
      <c r="B44" s="11"/>
      <c r="C44" s="12" t="s">
        <v>11</v>
      </c>
      <c r="D44" s="29" t="s">
        <v>296</v>
      </c>
      <c r="E44" s="11">
        <v>3</v>
      </c>
      <c r="F44" s="11"/>
      <c r="G44" s="68">
        <f aca="true" t="shared" si="2" ref="G44:M44">G580</f>
        <v>8.1</v>
      </c>
      <c r="H44" s="59">
        <f t="shared" si="2"/>
        <v>714377.3700000001</v>
      </c>
      <c r="I44" s="68">
        <f t="shared" si="2"/>
        <v>8.399999999999999</v>
      </c>
      <c r="J44" s="59">
        <f t="shared" si="2"/>
        <v>791944.8099999999</v>
      </c>
      <c r="L44" s="68">
        <f>K580</f>
        <v>8.5</v>
      </c>
      <c r="M44" s="59">
        <f t="shared" si="2"/>
        <v>841578</v>
      </c>
    </row>
    <row r="45" spans="1:13" ht="12">
      <c r="A45" s="11">
        <v>4</v>
      </c>
      <c r="B45" s="11"/>
      <c r="C45" s="12" t="s">
        <v>12</v>
      </c>
      <c r="D45" s="29" t="s">
        <v>297</v>
      </c>
      <c r="E45" s="11">
        <v>4</v>
      </c>
      <c r="F45" s="11"/>
      <c r="G45" s="68">
        <f aca="true" t="shared" si="3" ref="G45:M45">G617</f>
        <v>526.7</v>
      </c>
      <c r="H45" s="59">
        <f t="shared" si="3"/>
        <v>49777361.99</v>
      </c>
      <c r="I45" s="68">
        <f t="shared" si="3"/>
        <v>553.1</v>
      </c>
      <c r="J45" s="59">
        <f t="shared" si="3"/>
        <v>55439874.69999999</v>
      </c>
      <c r="L45" s="68">
        <f>L617</f>
        <v>552.5999999999999</v>
      </c>
      <c r="M45" s="59">
        <f t="shared" si="3"/>
        <v>58139308</v>
      </c>
    </row>
    <row r="46" spans="1:13" ht="12">
      <c r="A46" s="11">
        <v>5</v>
      </c>
      <c r="B46" s="11"/>
      <c r="C46" s="12" t="s">
        <v>13</v>
      </c>
      <c r="D46" s="29" t="s">
        <v>298</v>
      </c>
      <c r="E46" s="11">
        <v>5</v>
      </c>
      <c r="F46" s="11"/>
      <c r="G46" s="68">
        <f aca="true" t="shared" si="4" ref="G46:M46">G654</f>
        <v>215.10000000000002</v>
      </c>
      <c r="H46" s="59">
        <f t="shared" si="4"/>
        <v>18639242.650000002</v>
      </c>
      <c r="I46" s="68">
        <f t="shared" si="4"/>
        <v>221</v>
      </c>
      <c r="J46" s="59">
        <f t="shared" si="4"/>
        <v>20441151.399999995</v>
      </c>
      <c r="L46" s="68">
        <f>L654</f>
        <v>223</v>
      </c>
      <c r="M46" s="59">
        <f t="shared" si="4"/>
        <v>21758337</v>
      </c>
    </row>
    <row r="47" spans="1:13" ht="12">
      <c r="A47" s="11">
        <v>6</v>
      </c>
      <c r="B47" s="11"/>
      <c r="C47" s="12" t="s">
        <v>14</v>
      </c>
      <c r="D47" s="29" t="s">
        <v>299</v>
      </c>
      <c r="E47" s="11">
        <v>6</v>
      </c>
      <c r="F47" s="11"/>
      <c r="G47" s="68">
        <f aca="true" t="shared" si="5" ref="G47:M47">G691</f>
        <v>343.68</v>
      </c>
      <c r="H47" s="59">
        <f t="shared" si="5"/>
        <v>29773184.12</v>
      </c>
      <c r="I47" s="68">
        <f t="shared" si="5"/>
        <v>369.5</v>
      </c>
      <c r="J47" s="59">
        <f t="shared" si="5"/>
        <v>30509075.78</v>
      </c>
      <c r="L47" s="68">
        <f>L691</f>
        <v>352.22</v>
      </c>
      <c r="M47" s="59">
        <f t="shared" si="5"/>
        <v>32757961</v>
      </c>
    </row>
    <row r="48" spans="1:13" ht="12">
      <c r="A48" s="11">
        <v>7</v>
      </c>
      <c r="B48" s="11"/>
      <c r="C48" s="12" t="s">
        <v>59</v>
      </c>
      <c r="D48" s="29" t="s">
        <v>300</v>
      </c>
      <c r="E48" s="11">
        <v>7</v>
      </c>
      <c r="F48" s="11"/>
      <c r="G48" s="68">
        <f aca="true" t="shared" si="6" ref="G48:M48">G729</f>
        <v>397.79999999999995</v>
      </c>
      <c r="H48" s="59">
        <f t="shared" si="6"/>
        <v>45744038.800000004</v>
      </c>
      <c r="I48" s="68">
        <f t="shared" si="6"/>
        <v>409.70000000000005</v>
      </c>
      <c r="J48" s="59">
        <f t="shared" si="6"/>
        <v>42622900.16</v>
      </c>
      <c r="L48" s="68">
        <f>L729</f>
        <v>407.90000000000003</v>
      </c>
      <c r="M48" s="59">
        <f t="shared" si="6"/>
        <v>47671761</v>
      </c>
    </row>
    <row r="49" spans="1:13" ht="12">
      <c r="A49" s="11">
        <v>8</v>
      </c>
      <c r="B49" s="11"/>
      <c r="C49" s="12" t="s">
        <v>301</v>
      </c>
      <c r="D49" s="29" t="s">
        <v>302</v>
      </c>
      <c r="E49" s="11">
        <v>8</v>
      </c>
      <c r="F49" s="11"/>
      <c r="G49" s="68">
        <v>0</v>
      </c>
      <c r="H49" s="59">
        <f>H800</f>
        <v>23556771.54</v>
      </c>
      <c r="I49" s="68">
        <v>0</v>
      </c>
      <c r="J49" s="59">
        <f>J800</f>
        <v>30120682.11</v>
      </c>
      <c r="L49" s="68">
        <v>0</v>
      </c>
      <c r="M49" s="59">
        <f>M800</f>
        <v>35433697</v>
      </c>
    </row>
    <row r="50" spans="1:13" ht="12">
      <c r="A50" s="11">
        <v>9</v>
      </c>
      <c r="B50" s="11"/>
      <c r="C50" s="12" t="s">
        <v>90</v>
      </c>
      <c r="D50" s="29" t="s">
        <v>303</v>
      </c>
      <c r="E50" s="11">
        <v>9</v>
      </c>
      <c r="F50" s="11"/>
      <c r="G50" s="68">
        <f aca="true" t="shared" si="7" ref="G50:M50">G839</f>
        <v>0</v>
      </c>
      <c r="H50" s="59">
        <f t="shared" si="7"/>
        <v>0</v>
      </c>
      <c r="I50" s="68">
        <f t="shared" si="7"/>
        <v>0</v>
      </c>
      <c r="J50" s="59">
        <f t="shared" si="7"/>
        <v>0</v>
      </c>
      <c r="L50" s="68">
        <f>L839</f>
        <v>0</v>
      </c>
      <c r="M50" s="59">
        <f t="shared" si="7"/>
        <v>0</v>
      </c>
    </row>
    <row r="51" spans="1:13" ht="12">
      <c r="A51" s="11">
        <v>10</v>
      </c>
      <c r="B51" s="11"/>
      <c r="C51" s="12" t="s">
        <v>16</v>
      </c>
      <c r="D51" s="29" t="s">
        <v>304</v>
      </c>
      <c r="E51" s="11">
        <v>10</v>
      </c>
      <c r="F51" s="11"/>
      <c r="G51" s="68">
        <f aca="true" t="shared" si="8" ref="G51:M51">G874</f>
        <v>0</v>
      </c>
      <c r="H51" s="59">
        <f t="shared" si="8"/>
        <v>53578368.940000005</v>
      </c>
      <c r="I51" s="68">
        <f t="shared" si="8"/>
        <v>0</v>
      </c>
      <c r="J51" s="59">
        <f t="shared" si="8"/>
        <v>59050334.400000006</v>
      </c>
      <c r="L51" s="68">
        <f>K874</f>
        <v>0</v>
      </c>
      <c r="M51" s="59">
        <f t="shared" si="8"/>
        <v>59188422</v>
      </c>
    </row>
    <row r="52" spans="1:13" ht="12">
      <c r="A52" s="21"/>
      <c r="B52" s="21"/>
      <c r="C52" s="21"/>
      <c r="D52" s="21"/>
      <c r="E52" s="21"/>
      <c r="F52" s="21"/>
      <c r="G52" s="90" t="s">
        <v>1</v>
      </c>
      <c r="H52" s="143" t="s">
        <v>1</v>
      </c>
      <c r="I52" s="90" t="s">
        <v>1</v>
      </c>
      <c r="J52" s="143" t="s">
        <v>1</v>
      </c>
      <c r="K52" s="90" t="s">
        <v>1</v>
      </c>
      <c r="L52" s="90" t="s">
        <v>1</v>
      </c>
      <c r="M52" s="143" t="s">
        <v>1</v>
      </c>
    </row>
    <row r="53" spans="1:13" ht="12">
      <c r="A53" s="7">
        <v>11</v>
      </c>
      <c r="C53" s="12" t="s">
        <v>232</v>
      </c>
      <c r="E53" s="7">
        <v>11</v>
      </c>
      <c r="G53" s="68">
        <f aca="true" t="shared" si="9" ref="G53:M53">SUM(G42:G51)</f>
        <v>3580.2799999999997</v>
      </c>
      <c r="H53" s="59">
        <f t="shared" si="9"/>
        <v>434394528.50000006</v>
      </c>
      <c r="I53" s="68">
        <f t="shared" si="9"/>
        <v>3743.5</v>
      </c>
      <c r="J53" s="59">
        <f t="shared" si="9"/>
        <v>472029170.78999996</v>
      </c>
      <c r="L53" s="68">
        <f>SUM(L42:L51)</f>
        <v>3799.32</v>
      </c>
      <c r="M53" s="59">
        <f t="shared" si="9"/>
        <v>509768475</v>
      </c>
    </row>
    <row r="54" spans="1:13" ht="12">
      <c r="A54" s="21"/>
      <c r="B54" s="21"/>
      <c r="C54" s="21"/>
      <c r="D54" s="21"/>
      <c r="E54" s="21"/>
      <c r="F54" s="21"/>
      <c r="G54" s="90" t="s">
        <v>1</v>
      </c>
      <c r="H54" s="143" t="s">
        <v>1</v>
      </c>
      <c r="I54" s="90" t="s">
        <v>1</v>
      </c>
      <c r="J54" s="143" t="s">
        <v>1</v>
      </c>
      <c r="K54" s="90" t="s">
        <v>1</v>
      </c>
      <c r="L54" s="90" t="s">
        <v>1</v>
      </c>
      <c r="M54" s="143" t="s">
        <v>1</v>
      </c>
    </row>
    <row r="55" spans="1:13" ht="12">
      <c r="A55" s="7">
        <v>12</v>
      </c>
      <c r="C55" s="12" t="s">
        <v>305</v>
      </c>
      <c r="E55" s="7">
        <v>12</v>
      </c>
      <c r="G55" s="5"/>
      <c r="H55" s="59"/>
      <c r="I55" s="5"/>
      <c r="J55" s="59"/>
      <c r="L55" s="5"/>
      <c r="M55" s="59"/>
    </row>
    <row r="56" spans="1:13" ht="12">
      <c r="A56" s="11">
        <v>13</v>
      </c>
      <c r="B56" s="11"/>
      <c r="C56" s="12" t="s">
        <v>205</v>
      </c>
      <c r="D56" s="29" t="s">
        <v>306</v>
      </c>
      <c r="E56" s="11">
        <v>13</v>
      </c>
      <c r="F56" s="11"/>
      <c r="G56" s="47">
        <v>0</v>
      </c>
      <c r="H56" s="48">
        <v>0</v>
      </c>
      <c r="I56" s="47">
        <v>0</v>
      </c>
      <c r="J56" s="48">
        <v>0</v>
      </c>
      <c r="K56" s="30"/>
      <c r="L56" s="47">
        <v>0</v>
      </c>
      <c r="M56" s="48">
        <v>0</v>
      </c>
    </row>
    <row r="57" spans="1:13" ht="12">
      <c r="A57" s="11">
        <v>14</v>
      </c>
      <c r="B57" s="11"/>
      <c r="C57" s="12" t="s">
        <v>206</v>
      </c>
      <c r="D57" s="28" t="s">
        <v>307</v>
      </c>
      <c r="E57" s="11">
        <v>14</v>
      </c>
      <c r="F57" s="11"/>
      <c r="G57" s="47">
        <v>0</v>
      </c>
      <c r="H57" s="59">
        <f>H469</f>
        <v>31216968</v>
      </c>
      <c r="I57" s="47">
        <v>0</v>
      </c>
      <c r="J57" s="59">
        <f>J469</f>
        <v>37509194</v>
      </c>
      <c r="L57" s="47">
        <v>0</v>
      </c>
      <c r="M57" s="59">
        <f>M469</f>
        <v>44979003</v>
      </c>
    </row>
    <row r="58" spans="1:13" ht="12">
      <c r="A58" s="11">
        <v>15</v>
      </c>
      <c r="B58" s="11"/>
      <c r="C58" s="12" t="s">
        <v>225</v>
      </c>
      <c r="D58" s="12" t="s">
        <v>308</v>
      </c>
      <c r="E58" s="11">
        <v>15</v>
      </c>
      <c r="F58" s="11"/>
      <c r="G58" s="47">
        <v>0</v>
      </c>
      <c r="H58" s="59">
        <v>40614978</v>
      </c>
      <c r="I58" s="47">
        <v>0</v>
      </c>
      <c r="J58" s="59">
        <v>41910175.5</v>
      </c>
      <c r="L58" s="47">
        <v>0</v>
      </c>
      <c r="M58" s="59">
        <v>41304003</v>
      </c>
    </row>
    <row r="59" spans="1:13" ht="12">
      <c r="A59" s="11">
        <v>16</v>
      </c>
      <c r="B59" s="11"/>
      <c r="C59" s="12" t="s">
        <v>224</v>
      </c>
      <c r="D59" s="29"/>
      <c r="E59" s="11">
        <v>16</v>
      </c>
      <c r="F59" s="11"/>
      <c r="G59" s="36">
        <f>G270</f>
        <v>16044.9</v>
      </c>
      <c r="H59" s="189">
        <f>H60-H58</f>
        <v>88948375.97999999</v>
      </c>
      <c r="I59" s="36">
        <f>I270</f>
        <v>16034.43</v>
      </c>
      <c r="J59" s="189">
        <f>J60-J58</f>
        <v>104647616.23000002</v>
      </c>
      <c r="L59" s="36">
        <f>L270</f>
        <v>15856</v>
      </c>
      <c r="M59" s="189">
        <f>M60-M58</f>
        <v>111971195</v>
      </c>
    </row>
    <row r="60" spans="1:13" ht="12">
      <c r="A60" s="11">
        <v>17</v>
      </c>
      <c r="B60" s="11"/>
      <c r="C60" s="12" t="s">
        <v>309</v>
      </c>
      <c r="D60" s="29" t="s">
        <v>310</v>
      </c>
      <c r="E60" s="11">
        <v>17</v>
      </c>
      <c r="F60" s="11"/>
      <c r="G60" s="36">
        <f>G278</f>
        <v>23532.3</v>
      </c>
      <c r="H60" s="59">
        <f>H270</f>
        <v>129563353.97999999</v>
      </c>
      <c r="I60" s="36">
        <f>I278</f>
        <v>23597.1</v>
      </c>
      <c r="J60" s="59">
        <f>J270</f>
        <v>146557791.73000002</v>
      </c>
      <c r="L60" s="36">
        <f>L278</f>
        <v>24060</v>
      </c>
      <c r="M60" s="59">
        <f>M270</f>
        <v>153275198</v>
      </c>
    </row>
    <row r="61" spans="1:13" ht="12">
      <c r="A61" s="11">
        <v>18</v>
      </c>
      <c r="B61" s="11"/>
      <c r="C61" s="12" t="s">
        <v>227</v>
      </c>
      <c r="D61" s="29" t="s">
        <v>311</v>
      </c>
      <c r="E61" s="11">
        <v>18</v>
      </c>
      <c r="F61" s="11"/>
      <c r="G61" s="36">
        <f>G269</f>
        <v>1760.44</v>
      </c>
      <c r="H61" s="59">
        <f>H269</f>
        <v>21392299.95</v>
      </c>
      <c r="I61" s="36">
        <f>I269</f>
        <v>1750.8</v>
      </c>
      <c r="J61" s="59">
        <f>J269</f>
        <v>22729795.669999998</v>
      </c>
      <c r="L61" s="36">
        <f>L269</f>
        <v>1714</v>
      </c>
      <c r="M61" s="59">
        <f>M269</f>
        <v>23091415</v>
      </c>
    </row>
    <row r="62" spans="1:13" ht="12">
      <c r="A62" s="11">
        <v>19</v>
      </c>
      <c r="B62" s="11"/>
      <c r="C62" s="12" t="s">
        <v>312</v>
      </c>
      <c r="D62" s="29" t="s">
        <v>313</v>
      </c>
      <c r="E62" s="11">
        <v>19</v>
      </c>
      <c r="F62" s="11"/>
      <c r="G62" s="36">
        <f>UCB!G276</f>
        <v>8154.959999999999</v>
      </c>
      <c r="H62" s="59">
        <f>H276</f>
        <v>196907140.76999998</v>
      </c>
      <c r="I62" s="36">
        <f>UCB!I276</f>
        <v>8317.17</v>
      </c>
      <c r="J62" s="59">
        <f>J276</f>
        <v>203349237.86</v>
      </c>
      <c r="L62" s="36">
        <f>UCB!L276</f>
        <v>9010</v>
      </c>
      <c r="M62" s="59">
        <f>M276</f>
        <v>222910603</v>
      </c>
    </row>
    <row r="63" spans="1:13" ht="12">
      <c r="A63" s="11">
        <v>20</v>
      </c>
      <c r="B63" s="11"/>
      <c r="C63" s="12" t="s">
        <v>160</v>
      </c>
      <c r="D63" s="29" t="s">
        <v>314</v>
      </c>
      <c r="E63" s="11">
        <v>20</v>
      </c>
      <c r="F63" s="11"/>
      <c r="G63" s="36">
        <f>G280</f>
        <v>25960.3</v>
      </c>
      <c r="H63" s="59">
        <f>H280</f>
        <v>347862794.7</v>
      </c>
      <c r="I63" s="36">
        <f>I280</f>
        <v>26102.399999999998</v>
      </c>
      <c r="J63" s="59">
        <f>J280</f>
        <v>372636825.26000005</v>
      </c>
      <c r="L63" s="36">
        <f>L280</f>
        <v>26580</v>
      </c>
      <c r="M63" s="59">
        <f>M280</f>
        <v>399277216</v>
      </c>
    </row>
    <row r="64" spans="1:13" ht="12">
      <c r="A64" s="11">
        <v>21</v>
      </c>
      <c r="B64" s="11"/>
      <c r="C64" s="12" t="s">
        <v>315</v>
      </c>
      <c r="D64" s="29" t="s">
        <v>316</v>
      </c>
      <c r="E64" s="11">
        <v>21</v>
      </c>
      <c r="F64" s="11"/>
      <c r="G64" s="36"/>
      <c r="H64" s="59">
        <f>H322</f>
        <v>702527.5100000007</v>
      </c>
      <c r="I64" s="36"/>
      <c r="J64" s="59">
        <f>J322</f>
        <v>1166234.1800000006</v>
      </c>
      <c r="L64" s="36"/>
      <c r="M64" s="59">
        <f>M322</f>
        <v>7753564</v>
      </c>
    </row>
    <row r="65" spans="1:13" ht="12">
      <c r="A65" s="11">
        <v>22</v>
      </c>
      <c r="B65" s="11"/>
      <c r="C65" s="21"/>
      <c r="D65" s="21"/>
      <c r="E65" s="29">
        <v>22</v>
      </c>
      <c r="F65" s="29"/>
      <c r="G65" s="90" t="s">
        <v>1</v>
      </c>
      <c r="H65" s="143" t="s">
        <v>1</v>
      </c>
      <c r="I65" s="90" t="s">
        <v>1</v>
      </c>
      <c r="J65" s="143" t="s">
        <v>1</v>
      </c>
      <c r="K65" s="90" t="s">
        <v>1</v>
      </c>
      <c r="L65" s="90" t="s">
        <v>1</v>
      </c>
      <c r="M65" s="143" t="s">
        <v>1</v>
      </c>
    </row>
    <row r="66" spans="1:13" ht="12">
      <c r="A66" s="11">
        <v>23</v>
      </c>
      <c r="B66" s="11"/>
      <c r="C66" s="7" t="s">
        <v>317</v>
      </c>
      <c r="D66" s="35"/>
      <c r="E66" s="11">
        <v>23</v>
      </c>
      <c r="F66" s="11"/>
      <c r="G66" s="144"/>
      <c r="H66" s="59">
        <f>H57+H58+H59+H61+H62+H64</f>
        <v>379782290.2099999</v>
      </c>
      <c r="I66" s="59"/>
      <c r="J66" s="59">
        <f>J57+J58+J59+J61+J62+J64</f>
        <v>411312253.44</v>
      </c>
      <c r="K66" s="59"/>
      <c r="L66" s="59"/>
      <c r="M66" s="59">
        <f>M57+M58+M59+M61+M62+M64</f>
        <v>452009783</v>
      </c>
    </row>
    <row r="67" spans="1:13" ht="12">
      <c r="A67" s="11">
        <v>24</v>
      </c>
      <c r="B67" s="11"/>
      <c r="C67" s="34"/>
      <c r="D67" s="12"/>
      <c r="E67" s="11">
        <v>24</v>
      </c>
      <c r="F67" s="11"/>
      <c r="G67" s="36"/>
      <c r="H67" s="59"/>
      <c r="J67" s="59"/>
      <c r="M67" s="59"/>
    </row>
    <row r="68" spans="1:13" ht="12">
      <c r="A68" s="11">
        <v>25</v>
      </c>
      <c r="B68" s="11"/>
      <c r="C68" s="12" t="s">
        <v>318</v>
      </c>
      <c r="D68" s="29" t="s">
        <v>319</v>
      </c>
      <c r="E68" s="11">
        <v>25</v>
      </c>
      <c r="F68" s="11"/>
      <c r="H68" s="59">
        <f>H360</f>
        <v>54612238.879999995</v>
      </c>
      <c r="J68" s="59">
        <f>J360</f>
        <v>60716918.03</v>
      </c>
      <c r="M68" s="59">
        <f>M360</f>
        <v>57758692</v>
      </c>
    </row>
    <row r="69" spans="1:13" ht="12">
      <c r="A69" s="11">
        <v>26</v>
      </c>
      <c r="B69" s="11"/>
      <c r="C69" s="21"/>
      <c r="D69" s="21"/>
      <c r="E69" s="29">
        <v>26</v>
      </c>
      <c r="F69" s="29"/>
      <c r="G69" s="32" t="s">
        <v>1</v>
      </c>
      <c r="H69" s="143" t="s">
        <v>1</v>
      </c>
      <c r="I69" s="32" t="s">
        <v>1</v>
      </c>
      <c r="J69" s="143" t="s">
        <v>1</v>
      </c>
      <c r="K69" s="32" t="s">
        <v>1</v>
      </c>
      <c r="L69" s="32" t="s">
        <v>1</v>
      </c>
      <c r="M69" s="143" t="s">
        <v>1</v>
      </c>
    </row>
    <row r="70" spans="1:13" ht="12">
      <c r="A70" s="11">
        <v>27</v>
      </c>
      <c r="B70" s="11"/>
      <c r="C70" s="12" t="s">
        <v>539</v>
      </c>
      <c r="E70" s="11">
        <v>27</v>
      </c>
      <c r="F70" s="11"/>
      <c r="G70" s="5"/>
      <c r="H70" s="59">
        <f>SUM(H66:H68)</f>
        <v>434394529.0899999</v>
      </c>
      <c r="I70" s="5"/>
      <c r="J70" s="59">
        <f>SUM(J66:J68)</f>
        <v>472029171.47</v>
      </c>
      <c r="K70" s="5"/>
      <c r="L70" s="5"/>
      <c r="M70" s="59">
        <f>SUM(M66:M68)</f>
        <v>509768475</v>
      </c>
    </row>
    <row r="71" spans="1:13" ht="12">
      <c r="A71" s="21"/>
      <c r="B71" s="21"/>
      <c r="C71" s="21"/>
      <c r="D71" s="21"/>
      <c r="E71" s="21"/>
      <c r="F71" s="21"/>
      <c r="G71" s="32" t="s">
        <v>1</v>
      </c>
      <c r="H71" s="143" t="s">
        <v>1</v>
      </c>
      <c r="I71" s="32" t="s">
        <v>1</v>
      </c>
      <c r="J71" s="143" t="s">
        <v>1</v>
      </c>
      <c r="K71" s="32" t="s">
        <v>1</v>
      </c>
      <c r="L71" s="32" t="s">
        <v>1</v>
      </c>
      <c r="M71" s="143" t="s">
        <v>1</v>
      </c>
    </row>
    <row r="72" spans="3:13" ht="12">
      <c r="C72" s="7" t="s">
        <v>91</v>
      </c>
      <c r="D72" s="29"/>
      <c r="G72" s="32"/>
      <c r="H72" s="189">
        <f>H286</f>
        <v>41263047</v>
      </c>
      <c r="I72" s="32"/>
      <c r="J72" s="189">
        <f>J286</f>
        <v>47938593.11</v>
      </c>
      <c r="K72" s="32"/>
      <c r="L72" s="32"/>
      <c r="M72" s="189">
        <f>M286</f>
        <v>51387920</v>
      </c>
    </row>
    <row r="73" spans="5:13" ht="12">
      <c r="E73" s="50"/>
      <c r="F73" s="50"/>
      <c r="G73" s="5"/>
      <c r="H73" s="59"/>
      <c r="I73" s="5"/>
      <c r="J73" s="59"/>
      <c r="K73" s="5"/>
      <c r="L73" s="5"/>
      <c r="M73" s="189"/>
    </row>
    <row r="74" spans="1:13" ht="12">
      <c r="A74" s="16" t="s">
        <v>320</v>
      </c>
      <c r="B74" s="16"/>
      <c r="E74" s="50"/>
      <c r="F74" s="50"/>
      <c r="G74" s="5"/>
      <c r="H74" s="59"/>
      <c r="I74" s="5"/>
      <c r="J74" s="59"/>
      <c r="K74" s="5"/>
      <c r="L74" s="5"/>
      <c r="M74" s="146" t="s">
        <v>117</v>
      </c>
    </row>
    <row r="75" spans="1:13" ht="12">
      <c r="A75" s="269" t="s">
        <v>321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</row>
    <row r="76" spans="1:13" ht="12">
      <c r="A76" s="16" t="s">
        <v>292</v>
      </c>
      <c r="B76" s="16"/>
      <c r="J76" s="59"/>
      <c r="K76" s="5"/>
      <c r="L76" s="5"/>
      <c r="M76" s="207" t="s">
        <v>293</v>
      </c>
    </row>
    <row r="77" spans="1:13" ht="12">
      <c r="A77" s="21" t="s">
        <v>1</v>
      </c>
      <c r="B77" s="21"/>
      <c r="C77" s="21" t="s">
        <v>1</v>
      </c>
      <c r="D77" s="21" t="s">
        <v>1</v>
      </c>
      <c r="E77" s="21" t="s">
        <v>1</v>
      </c>
      <c r="F77" s="21"/>
      <c r="G77" s="21" t="s">
        <v>1</v>
      </c>
      <c r="H77" s="21" t="s">
        <v>1</v>
      </c>
      <c r="I77" s="21" t="s">
        <v>1</v>
      </c>
      <c r="J77" s="21" t="s">
        <v>1</v>
      </c>
      <c r="K77" s="21" t="s">
        <v>1</v>
      </c>
      <c r="L77" s="21"/>
      <c r="M77" s="21" t="s">
        <v>1</v>
      </c>
    </row>
    <row r="78" spans="1:13" ht="12">
      <c r="A78" s="24" t="s">
        <v>2</v>
      </c>
      <c r="B78" s="24"/>
      <c r="E78" s="24" t="s">
        <v>2</v>
      </c>
      <c r="F78" s="24"/>
      <c r="G78" s="5"/>
      <c r="H78" s="130" t="s">
        <v>249</v>
      </c>
      <c r="I78" s="68"/>
      <c r="J78" s="130" t="s">
        <v>251</v>
      </c>
      <c r="K78" s="68"/>
      <c r="L78" s="68"/>
      <c r="M78" s="130" t="s">
        <v>260</v>
      </c>
    </row>
    <row r="79" spans="1:13" ht="12">
      <c r="A79" s="24" t="s">
        <v>4</v>
      </c>
      <c r="B79" s="24"/>
      <c r="E79" s="24" t="s">
        <v>4</v>
      </c>
      <c r="F79" s="24"/>
      <c r="G79" s="5"/>
      <c r="H79" s="130" t="s">
        <v>7</v>
      </c>
      <c r="I79" s="5"/>
      <c r="J79" s="130" t="s">
        <v>7</v>
      </c>
      <c r="K79" s="5"/>
      <c r="L79" s="5"/>
      <c r="M79" s="130" t="s">
        <v>8</v>
      </c>
    </row>
    <row r="80" spans="1:13" ht="12">
      <c r="A80" s="21" t="s">
        <v>1</v>
      </c>
      <c r="B80" s="21"/>
      <c r="C80" s="21" t="s">
        <v>1</v>
      </c>
      <c r="D80" s="21" t="s">
        <v>1</v>
      </c>
      <c r="E80" s="21" t="s">
        <v>1</v>
      </c>
      <c r="F80" s="21"/>
      <c r="G80" s="21" t="s">
        <v>1</v>
      </c>
      <c r="H80" s="21" t="s">
        <v>1</v>
      </c>
      <c r="I80" s="21" t="s">
        <v>1</v>
      </c>
      <c r="J80" s="21" t="s">
        <v>1</v>
      </c>
      <c r="K80" s="21" t="s">
        <v>1</v>
      </c>
      <c r="L80" s="21"/>
      <c r="M80" s="21" t="s">
        <v>1</v>
      </c>
    </row>
    <row r="81" spans="1:13" ht="12">
      <c r="A81" s="11">
        <v>1</v>
      </c>
      <c r="B81" s="11"/>
      <c r="C81" s="12" t="s">
        <v>119</v>
      </c>
      <c r="E81" s="11">
        <v>1</v>
      </c>
      <c r="F81" s="11"/>
      <c r="G81" s="5"/>
      <c r="H81" s="59"/>
      <c r="I81" s="5"/>
      <c r="J81" s="59"/>
      <c r="K81" s="5"/>
      <c r="L81" s="5"/>
      <c r="M81" s="59"/>
    </row>
    <row r="82" spans="1:13" ht="12">
      <c r="A82" s="29" t="s">
        <v>322</v>
      </c>
      <c r="B82" s="29"/>
      <c r="C82" s="12" t="s">
        <v>323</v>
      </c>
      <c r="E82" s="29" t="s">
        <v>207</v>
      </c>
      <c r="F82" s="29"/>
      <c r="G82" s="5"/>
      <c r="H82" s="59"/>
      <c r="I82" s="5"/>
      <c r="J82" s="59"/>
      <c r="K82" s="5"/>
      <c r="L82" s="5"/>
      <c r="M82" s="59"/>
    </row>
    <row r="83" spans="1:13" ht="12">
      <c r="A83" s="29" t="s">
        <v>324</v>
      </c>
      <c r="B83" s="29"/>
      <c r="C83" s="12" t="s">
        <v>325</v>
      </c>
      <c r="E83" s="29" t="s">
        <v>208</v>
      </c>
      <c r="F83" s="29"/>
      <c r="G83" s="5"/>
      <c r="H83" s="59"/>
      <c r="I83" s="5"/>
      <c r="J83" s="59"/>
      <c r="K83" s="5"/>
      <c r="L83" s="5"/>
      <c r="M83" s="59"/>
    </row>
    <row r="84" spans="1:13" ht="12">
      <c r="A84" s="29" t="s">
        <v>326</v>
      </c>
      <c r="B84" s="29"/>
      <c r="C84" s="12" t="s">
        <v>327</v>
      </c>
      <c r="E84" s="29" t="s">
        <v>209</v>
      </c>
      <c r="F84" s="29"/>
      <c r="G84" s="5"/>
      <c r="H84" s="17">
        <f>G233+G239+G251</f>
        <v>16044.9</v>
      </c>
      <c r="I84" s="36"/>
      <c r="J84" s="17">
        <f>I233+I239+I251</f>
        <v>16034.43</v>
      </c>
      <c r="K84" s="17"/>
      <c r="L84" s="17"/>
      <c r="M84" s="17">
        <f>L233+L239+L251</f>
        <v>15856</v>
      </c>
    </row>
    <row r="85" spans="1:13" ht="12">
      <c r="A85" s="11">
        <v>3</v>
      </c>
      <c r="B85" s="11"/>
      <c r="C85" s="12" t="s">
        <v>120</v>
      </c>
      <c r="E85" s="11">
        <v>3</v>
      </c>
      <c r="F85" s="11"/>
      <c r="G85" s="5"/>
      <c r="H85" s="17">
        <f>G232+G238+G250</f>
        <v>1760.44</v>
      </c>
      <c r="I85" s="36"/>
      <c r="J85" s="17">
        <f>I232+I238+I250</f>
        <v>1750.8</v>
      </c>
      <c r="K85" s="36"/>
      <c r="L85" s="36"/>
      <c r="M85" s="17">
        <f>L232+L238+L250</f>
        <v>1714</v>
      </c>
    </row>
    <row r="86" spans="1:13" ht="12">
      <c r="A86" s="11">
        <v>4</v>
      </c>
      <c r="B86" s="11"/>
      <c r="C86" s="12" t="s">
        <v>121</v>
      </c>
      <c r="E86" s="11">
        <v>4</v>
      </c>
      <c r="F86" s="11"/>
      <c r="G86" s="5"/>
      <c r="H86" s="17">
        <f>SUM(H84:H85)</f>
        <v>17805.34</v>
      </c>
      <c r="I86" s="36"/>
      <c r="J86" s="17">
        <f>SUM(J84:J85)</f>
        <v>17785.23</v>
      </c>
      <c r="K86" s="36"/>
      <c r="L86" s="36"/>
      <c r="M86" s="17">
        <f>SUM(M84:M85)</f>
        <v>17570</v>
      </c>
    </row>
    <row r="87" spans="1:13" ht="12">
      <c r="A87" s="11">
        <v>5</v>
      </c>
      <c r="B87" s="11"/>
      <c r="E87" s="11">
        <v>5</v>
      </c>
      <c r="F87" s="11"/>
      <c r="G87" s="5"/>
      <c r="H87" s="17"/>
      <c r="I87" s="36"/>
      <c r="J87" s="17"/>
      <c r="K87" s="36"/>
      <c r="L87" s="36"/>
      <c r="M87" s="17"/>
    </row>
    <row r="88" spans="1:13" ht="12">
      <c r="A88" s="11">
        <v>6</v>
      </c>
      <c r="B88" s="11"/>
      <c r="C88" s="12" t="s">
        <v>122</v>
      </c>
      <c r="E88" s="11">
        <v>6</v>
      </c>
      <c r="F88" s="11"/>
      <c r="G88" s="5"/>
      <c r="H88" s="17">
        <f>G235+G241+G253</f>
        <v>7487.4</v>
      </c>
      <c r="I88" s="36"/>
      <c r="J88" s="17">
        <f>I235+I241+I253</f>
        <v>7562.67</v>
      </c>
      <c r="K88" s="36"/>
      <c r="L88" s="36"/>
      <c r="M88" s="17">
        <f>L235+L241+L253</f>
        <v>8204</v>
      </c>
    </row>
    <row r="89" spans="1:13" ht="12">
      <c r="A89" s="11">
        <v>7</v>
      </c>
      <c r="B89" s="11"/>
      <c r="C89" s="12" t="s">
        <v>123</v>
      </c>
      <c r="E89" s="11">
        <v>7</v>
      </c>
      <c r="F89" s="11"/>
      <c r="G89" s="5"/>
      <c r="H89" s="17">
        <f>G234+G240+G252</f>
        <v>667.56</v>
      </c>
      <c r="I89" s="36"/>
      <c r="J89" s="17">
        <f>I234+I240+I252</f>
        <v>754.5</v>
      </c>
      <c r="K89" s="36"/>
      <c r="L89" s="36"/>
      <c r="M89" s="17">
        <f>L234+L240+L252</f>
        <v>806</v>
      </c>
    </row>
    <row r="90" spans="1:13" ht="12">
      <c r="A90" s="11">
        <v>8</v>
      </c>
      <c r="B90" s="11"/>
      <c r="C90" s="12" t="s">
        <v>124</v>
      </c>
      <c r="E90" s="11">
        <v>8</v>
      </c>
      <c r="F90" s="11"/>
      <c r="G90" s="5"/>
      <c r="H90" s="17">
        <f>SUM(H88:H89)</f>
        <v>8154.959999999999</v>
      </c>
      <c r="I90" s="36"/>
      <c r="J90" s="17">
        <f>SUM(J88:J89)</f>
        <v>8317.17</v>
      </c>
      <c r="K90" s="36"/>
      <c r="L90" s="36"/>
      <c r="M90" s="17">
        <f>SUM(M88:M89)</f>
        <v>9010</v>
      </c>
    </row>
    <row r="91" spans="1:13" ht="12">
      <c r="A91" s="11">
        <v>9</v>
      </c>
      <c r="B91" s="11"/>
      <c r="E91" s="11">
        <v>9</v>
      </c>
      <c r="F91" s="11"/>
      <c r="G91" s="5"/>
      <c r="H91" s="8"/>
      <c r="I91" s="36"/>
      <c r="J91" s="8"/>
      <c r="K91" s="36"/>
      <c r="L91" s="36"/>
      <c r="M91" s="8"/>
    </row>
    <row r="92" spans="1:13" ht="12">
      <c r="A92" s="11">
        <v>10</v>
      </c>
      <c r="B92" s="11"/>
      <c r="C92" s="12" t="s">
        <v>125</v>
      </c>
      <c r="E92" s="11">
        <v>10</v>
      </c>
      <c r="F92" s="11"/>
      <c r="G92" s="5"/>
      <c r="H92" s="17">
        <f>H84+H88</f>
        <v>23532.3</v>
      </c>
      <c r="I92" s="36"/>
      <c r="J92" s="17">
        <f>J84+J88</f>
        <v>23597.1</v>
      </c>
      <c r="K92" s="36"/>
      <c r="L92" s="36"/>
      <c r="M92" s="17">
        <f>M84+M88</f>
        <v>24060</v>
      </c>
    </row>
    <row r="93" spans="1:13" ht="12">
      <c r="A93" s="11">
        <v>11</v>
      </c>
      <c r="B93" s="11"/>
      <c r="C93" s="12" t="s">
        <v>126</v>
      </c>
      <c r="E93" s="11">
        <v>11</v>
      </c>
      <c r="F93" s="11"/>
      <c r="G93" s="5"/>
      <c r="H93" s="17">
        <f>H85+H89</f>
        <v>2428</v>
      </c>
      <c r="I93" s="36"/>
      <c r="J93" s="17">
        <f>J85+J89</f>
        <v>2505.3</v>
      </c>
      <c r="K93" s="36"/>
      <c r="L93" s="36"/>
      <c r="M93" s="17">
        <f>M85+M89</f>
        <v>2520</v>
      </c>
    </row>
    <row r="94" spans="1:13" ht="12">
      <c r="A94" s="11">
        <v>12</v>
      </c>
      <c r="B94" s="11"/>
      <c r="C94" s="12" t="s">
        <v>127</v>
      </c>
      <c r="E94" s="11">
        <v>12</v>
      </c>
      <c r="F94" s="11"/>
      <c r="G94" s="5"/>
      <c r="H94" s="17">
        <f>SUM(H92:H93)</f>
        <v>25960.3</v>
      </c>
      <c r="I94" s="36"/>
      <c r="J94" s="17">
        <f>SUM(J92:J93)</f>
        <v>26102.399999999998</v>
      </c>
      <c r="K94" s="36"/>
      <c r="L94" s="36"/>
      <c r="M94" s="17">
        <f>SUM(M92:M93)</f>
        <v>26580</v>
      </c>
    </row>
    <row r="95" spans="1:13" ht="12">
      <c r="A95" s="11">
        <v>13</v>
      </c>
      <c r="B95" s="11"/>
      <c r="E95" s="11">
        <v>13</v>
      </c>
      <c r="F95" s="11"/>
      <c r="G95" s="5"/>
      <c r="H95" s="59"/>
      <c r="I95" s="5"/>
      <c r="J95" s="59"/>
      <c r="K95" s="5"/>
      <c r="L95" s="5"/>
      <c r="M95" s="59"/>
    </row>
    <row r="96" spans="1:13" ht="12">
      <c r="A96" s="11">
        <v>14</v>
      </c>
      <c r="B96" s="11"/>
      <c r="C96" s="12" t="s">
        <v>128</v>
      </c>
      <c r="E96" s="11">
        <v>14</v>
      </c>
      <c r="F96" s="11"/>
      <c r="G96" s="5"/>
      <c r="H96" s="59"/>
      <c r="I96" s="5"/>
      <c r="J96" s="59"/>
      <c r="K96" s="5"/>
      <c r="L96" s="5"/>
      <c r="M96" s="59"/>
    </row>
    <row r="97" spans="1:13" ht="12">
      <c r="A97" s="11">
        <v>15</v>
      </c>
      <c r="B97" s="11"/>
      <c r="C97" s="12" t="s">
        <v>328</v>
      </c>
      <c r="E97" s="11">
        <v>15</v>
      </c>
      <c r="F97" s="11"/>
      <c r="G97" s="5"/>
      <c r="H97" s="59">
        <f>(H70-H335)/H94</f>
        <v>15049.186263255815</v>
      </c>
      <c r="I97" s="5"/>
      <c r="J97" s="59">
        <f>(J70-J335)/J94</f>
        <v>16326.25830421724</v>
      </c>
      <c r="K97" s="5"/>
      <c r="L97" s="5"/>
      <c r="M97" s="146">
        <f>(M70-M335)/M94</f>
        <v>17553.850188111363</v>
      </c>
    </row>
    <row r="98" spans="1:13" ht="12">
      <c r="A98" s="29">
        <v>16</v>
      </c>
      <c r="B98" s="29"/>
      <c r="C98" s="12" t="s">
        <v>329</v>
      </c>
      <c r="E98" s="29">
        <v>16</v>
      </c>
      <c r="F98" s="29"/>
      <c r="G98" s="5"/>
      <c r="H98" s="59">
        <f>86*30</f>
        <v>2580</v>
      </c>
      <c r="I98" s="5"/>
      <c r="J98" s="59">
        <f>89*30</f>
        <v>2670</v>
      </c>
      <c r="K98" s="5"/>
      <c r="L98" s="5"/>
      <c r="M98" s="59">
        <f>92*30</f>
        <v>2760</v>
      </c>
    </row>
    <row r="99" spans="1:13" ht="12">
      <c r="A99" s="11">
        <v>17</v>
      </c>
      <c r="B99" s="11"/>
      <c r="E99" s="11">
        <v>17</v>
      </c>
      <c r="F99" s="11"/>
      <c r="G99" s="5"/>
      <c r="H99" s="59"/>
      <c r="I99" s="5"/>
      <c r="J99" s="59"/>
      <c r="K99" s="5"/>
      <c r="L99" s="5"/>
      <c r="M99" s="59"/>
    </row>
    <row r="100" spans="1:13" ht="12">
      <c r="A100" s="11">
        <v>18</v>
      </c>
      <c r="B100" s="11"/>
      <c r="C100" s="12" t="s">
        <v>330</v>
      </c>
      <c r="E100" s="11">
        <v>18</v>
      </c>
      <c r="F100" s="11"/>
      <c r="G100" s="5"/>
      <c r="H100" s="59"/>
      <c r="I100" s="5"/>
      <c r="J100" s="59"/>
      <c r="K100" s="5"/>
      <c r="L100" s="5"/>
      <c r="M100" s="59"/>
    </row>
    <row r="101" spans="1:13" ht="12">
      <c r="A101" s="11">
        <v>19</v>
      </c>
      <c r="B101" s="11"/>
      <c r="C101" s="12" t="s">
        <v>130</v>
      </c>
      <c r="E101" s="11">
        <v>19</v>
      </c>
      <c r="F101" s="11"/>
      <c r="G101" s="5"/>
      <c r="H101" s="68">
        <f>G482</f>
        <v>1699.2</v>
      </c>
      <c r="I101" s="155"/>
      <c r="J101" s="68">
        <f>I482</f>
        <v>1767.3000000000002</v>
      </c>
      <c r="K101" s="155"/>
      <c r="L101" s="155"/>
      <c r="M101" s="68">
        <f>L482</f>
        <v>1832.4</v>
      </c>
    </row>
    <row r="102" spans="1:13" ht="12">
      <c r="A102" s="11">
        <v>20</v>
      </c>
      <c r="B102" s="11"/>
      <c r="C102" s="12" t="s">
        <v>131</v>
      </c>
      <c r="E102" s="11">
        <v>20</v>
      </c>
      <c r="F102" s="11"/>
      <c r="G102" s="5"/>
      <c r="H102" s="68">
        <f>G479</f>
        <v>1293.5</v>
      </c>
      <c r="I102" s="155"/>
      <c r="J102" s="68">
        <f>I479</f>
        <v>1347.2</v>
      </c>
      <c r="K102" s="155"/>
      <c r="L102" s="155"/>
      <c r="M102" s="68">
        <f>L479</f>
        <v>1408.5</v>
      </c>
    </row>
    <row r="103" spans="1:13" ht="12">
      <c r="A103" s="11">
        <v>21</v>
      </c>
      <c r="B103" s="11"/>
      <c r="C103" s="12" t="s">
        <v>132</v>
      </c>
      <c r="E103" s="11">
        <v>21</v>
      </c>
      <c r="F103" s="11"/>
      <c r="G103" s="5"/>
      <c r="H103" s="68">
        <f>G481</f>
        <v>405.7</v>
      </c>
      <c r="I103" s="155"/>
      <c r="J103" s="68">
        <f>I481</f>
        <v>420.1</v>
      </c>
      <c r="K103" s="155"/>
      <c r="L103" s="155"/>
      <c r="M103" s="68">
        <f>L481</f>
        <v>423.9</v>
      </c>
    </row>
    <row r="104" spans="1:13" ht="12">
      <c r="A104" s="11">
        <v>22</v>
      </c>
      <c r="B104" s="11"/>
      <c r="E104" s="11">
        <v>22</v>
      </c>
      <c r="F104" s="11"/>
      <c r="G104" s="5"/>
      <c r="H104" s="88"/>
      <c r="I104" s="155"/>
      <c r="J104" s="88"/>
      <c r="K104" s="155"/>
      <c r="L104" s="155"/>
      <c r="M104" s="88"/>
    </row>
    <row r="105" spans="1:13" ht="12">
      <c r="A105" s="11">
        <v>23</v>
      </c>
      <c r="B105" s="11"/>
      <c r="C105" s="12" t="s">
        <v>133</v>
      </c>
      <c r="E105" s="11">
        <v>23</v>
      </c>
      <c r="F105" s="11"/>
      <c r="G105" s="5"/>
      <c r="H105" s="88"/>
      <c r="I105" s="155"/>
      <c r="J105" s="88"/>
      <c r="K105" s="155"/>
      <c r="L105" s="155"/>
      <c r="M105" s="88"/>
    </row>
    <row r="106" spans="1:13" ht="12">
      <c r="A106" s="11">
        <v>24</v>
      </c>
      <c r="B106" s="11"/>
      <c r="C106" s="12" t="s">
        <v>134</v>
      </c>
      <c r="E106" s="11">
        <v>24</v>
      </c>
      <c r="F106" s="11"/>
      <c r="G106" s="5"/>
      <c r="H106" s="59">
        <f>IF(G482=0,0,H482/G482)</f>
        <v>95323.12003295668</v>
      </c>
      <c r="I106" s="5"/>
      <c r="J106" s="59">
        <f>IF(I482=0,0,J482/I482)</f>
        <v>103114.43057205905</v>
      </c>
      <c r="K106" s="5"/>
      <c r="L106" s="5"/>
      <c r="M106" s="59">
        <f>IF(L482=0,0,M482/L482)</f>
        <v>109102.50927745033</v>
      </c>
    </row>
    <row r="107" spans="1:13" ht="12">
      <c r="A107" s="11">
        <v>25</v>
      </c>
      <c r="B107" s="11"/>
      <c r="C107" s="12" t="s">
        <v>135</v>
      </c>
      <c r="E107" s="11">
        <v>25</v>
      </c>
      <c r="F107" s="11"/>
      <c r="G107" s="5"/>
      <c r="H107" s="59">
        <f>IF(H102=0,0,(H479+H480)/H102)</f>
        <v>105367.78931580983</v>
      </c>
      <c r="I107" s="5"/>
      <c r="J107" s="59">
        <f>IF(J102=0,0,(J479+J480)/J102)</f>
        <v>114402.39239904987</v>
      </c>
      <c r="K107" s="5"/>
      <c r="L107" s="5"/>
      <c r="M107" s="59">
        <f>IF(M102=0,0,(M479+M480)/M102)</f>
        <v>120882.14270500533</v>
      </c>
    </row>
    <row r="108" spans="1:13" ht="12">
      <c r="A108" s="11">
        <v>26</v>
      </c>
      <c r="B108" s="11"/>
      <c r="C108" s="12" t="s">
        <v>136</v>
      </c>
      <c r="E108" s="11">
        <v>26</v>
      </c>
      <c r="F108" s="11"/>
      <c r="G108" s="5"/>
      <c r="H108" s="59">
        <f>IF(H103=0,0,H481/H103)</f>
        <v>63297.535321666255</v>
      </c>
      <c r="I108" s="5"/>
      <c r="J108" s="59">
        <f>IF(J103=0,0,J481/J103)</f>
        <v>66915.56798381337</v>
      </c>
      <c r="K108" s="5"/>
      <c r="L108" s="5"/>
      <c r="M108" s="59">
        <f>IF(M103=0,0,M481/M103)</f>
        <v>69962.11370606275</v>
      </c>
    </row>
    <row r="109" spans="1:12" ht="12">
      <c r="A109" s="11">
        <v>27</v>
      </c>
      <c r="B109" s="11"/>
      <c r="E109" s="11">
        <v>27</v>
      </c>
      <c r="F109" s="11"/>
      <c r="G109" s="5"/>
      <c r="I109" s="5"/>
      <c r="K109" s="5"/>
      <c r="L109" s="5"/>
    </row>
    <row r="110" spans="1:13" ht="12">
      <c r="A110" s="11">
        <v>28</v>
      </c>
      <c r="B110" s="11"/>
      <c r="C110" s="12" t="s">
        <v>331</v>
      </c>
      <c r="E110" s="11">
        <v>28</v>
      </c>
      <c r="F110" s="11"/>
      <c r="G110" s="5"/>
      <c r="H110" s="68">
        <f>G53</f>
        <v>3580.2799999999997</v>
      </c>
      <c r="I110" s="68"/>
      <c r="J110" s="68">
        <f>I53</f>
        <v>3743.5</v>
      </c>
      <c r="K110" s="68"/>
      <c r="L110" s="68"/>
      <c r="M110" s="68">
        <f>L53</f>
        <v>3799.32</v>
      </c>
    </row>
    <row r="111" spans="1:13" ht="12">
      <c r="A111" s="11">
        <v>29</v>
      </c>
      <c r="B111" s="11"/>
      <c r="C111" s="12"/>
      <c r="E111" s="11">
        <v>29</v>
      </c>
      <c r="F111" s="11"/>
      <c r="G111" s="5"/>
      <c r="H111" s="68"/>
      <c r="I111" s="68"/>
      <c r="J111" s="68"/>
      <c r="K111" s="68"/>
      <c r="L111" s="68"/>
      <c r="M111" s="68"/>
    </row>
    <row r="112" spans="1:5" ht="12">
      <c r="A112" s="7">
        <v>30</v>
      </c>
      <c r="E112" s="7">
        <v>30</v>
      </c>
    </row>
    <row r="113" spans="5:12" ht="12">
      <c r="E113" s="50"/>
      <c r="F113" s="50"/>
      <c r="G113" s="5"/>
      <c r="H113" s="59"/>
      <c r="I113" s="5"/>
      <c r="J113" s="59"/>
      <c r="K113" s="5"/>
      <c r="L113" s="5"/>
    </row>
    <row r="114" spans="1:13" ht="12">
      <c r="A114" s="16" t="s">
        <v>320</v>
      </c>
      <c r="B114" s="16"/>
      <c r="E114" s="50"/>
      <c r="F114" s="50"/>
      <c r="G114" s="5"/>
      <c r="H114" s="59"/>
      <c r="I114" s="5"/>
      <c r="J114" s="59"/>
      <c r="K114" s="5"/>
      <c r="L114" s="5"/>
      <c r="M114" s="146" t="s">
        <v>138</v>
      </c>
    </row>
    <row r="115" spans="1:13" ht="12">
      <c r="A115" s="269" t="s">
        <v>332</v>
      </c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</row>
    <row r="116" spans="1:13" ht="12">
      <c r="A116" s="16" t="s">
        <v>292</v>
      </c>
      <c r="B116" s="16"/>
      <c r="J116" s="59"/>
      <c r="K116" s="5"/>
      <c r="L116" s="5"/>
      <c r="M116" s="207" t="s">
        <v>293</v>
      </c>
    </row>
    <row r="117" spans="1:13" ht="12">
      <c r="A117" s="21" t="s">
        <v>1</v>
      </c>
      <c r="B117" s="21"/>
      <c r="C117" s="21" t="s">
        <v>1</v>
      </c>
      <c r="D117" s="21" t="s">
        <v>1</v>
      </c>
      <c r="E117" s="21" t="s">
        <v>1</v>
      </c>
      <c r="F117" s="21"/>
      <c r="G117" s="21" t="s">
        <v>1</v>
      </c>
      <c r="H117" s="21" t="s">
        <v>1</v>
      </c>
      <c r="I117" s="21" t="s">
        <v>1</v>
      </c>
      <c r="J117" s="21" t="s">
        <v>1</v>
      </c>
      <c r="K117" s="21" t="s">
        <v>1</v>
      </c>
      <c r="L117" s="21"/>
      <c r="M117" s="21" t="s">
        <v>1</v>
      </c>
    </row>
    <row r="118" spans="1:13" ht="12">
      <c r="A118" s="24" t="s">
        <v>2</v>
      </c>
      <c r="B118" s="24"/>
      <c r="E118" s="24" t="s">
        <v>2</v>
      </c>
      <c r="F118" s="24"/>
      <c r="G118" s="5"/>
      <c r="H118" s="130" t="s">
        <v>249</v>
      </c>
      <c r="I118" s="68"/>
      <c r="J118" s="130" t="s">
        <v>251</v>
      </c>
      <c r="L118" s="130" t="s">
        <v>260</v>
      </c>
      <c r="M118" s="146" t="s">
        <v>260</v>
      </c>
    </row>
    <row r="119" spans="1:13" ht="12">
      <c r="A119" s="24" t="s">
        <v>4</v>
      </c>
      <c r="B119" s="24"/>
      <c r="C119" s="12" t="s">
        <v>0</v>
      </c>
      <c r="E119" s="24" t="s">
        <v>4</v>
      </c>
      <c r="F119" s="24"/>
      <c r="G119" s="5"/>
      <c r="H119" s="130" t="s">
        <v>7</v>
      </c>
      <c r="I119" s="5"/>
      <c r="J119" s="130" t="s">
        <v>7</v>
      </c>
      <c r="L119" s="130" t="s">
        <v>8</v>
      </c>
      <c r="M119" s="146" t="s">
        <v>333</v>
      </c>
    </row>
    <row r="120" spans="1:13" ht="12">
      <c r="A120" s="21" t="s">
        <v>1</v>
      </c>
      <c r="B120" s="21"/>
      <c r="C120" s="21" t="s">
        <v>1</v>
      </c>
      <c r="D120" s="21" t="s">
        <v>1</v>
      </c>
      <c r="E120" s="21" t="s">
        <v>1</v>
      </c>
      <c r="F120" s="21"/>
      <c r="G120" s="21" t="s">
        <v>1</v>
      </c>
      <c r="H120" s="21" t="s">
        <v>1</v>
      </c>
      <c r="I120" s="21" t="s">
        <v>1</v>
      </c>
      <c r="J120" s="21" t="s">
        <v>1</v>
      </c>
      <c r="K120" s="21" t="s">
        <v>1</v>
      </c>
      <c r="L120" s="21" t="s">
        <v>1</v>
      </c>
      <c r="M120" s="21" t="s">
        <v>1</v>
      </c>
    </row>
    <row r="121" spans="1:13" ht="12">
      <c r="A121" s="11">
        <v>1</v>
      </c>
      <c r="B121" s="11"/>
      <c r="C121" s="12" t="s">
        <v>334</v>
      </c>
      <c r="E121" s="50">
        <v>1</v>
      </c>
      <c r="F121" s="50"/>
      <c r="G121" s="5"/>
      <c r="H121" s="130"/>
      <c r="I121" s="5"/>
      <c r="J121" s="25"/>
      <c r="L121" s="149"/>
      <c r="M121" s="59"/>
    </row>
    <row r="122" spans="1:13" ht="12">
      <c r="A122" s="11">
        <f aca="true" t="shared" si="10" ref="A122:A147">(A121+1)</f>
        <v>2</v>
      </c>
      <c r="B122" s="11"/>
      <c r="C122" s="12" t="s">
        <v>140</v>
      </c>
      <c r="E122" s="50">
        <v>2</v>
      </c>
      <c r="F122" s="50"/>
      <c r="G122" s="5"/>
      <c r="H122" s="139">
        <f>2277*2</f>
        <v>4554</v>
      </c>
      <c r="I122" s="36"/>
      <c r="J122" s="139">
        <f>2709*2</f>
        <v>5418</v>
      </c>
      <c r="L122" s="139">
        <f>2961*2</f>
        <v>5922</v>
      </c>
      <c r="M122" s="208">
        <f>(L122/J122)-1</f>
        <v>0.09302325581395343</v>
      </c>
    </row>
    <row r="123" spans="1:13" ht="12">
      <c r="A123" s="11">
        <f t="shared" si="10"/>
        <v>3</v>
      </c>
      <c r="B123" s="11"/>
      <c r="C123" s="12" t="s">
        <v>141</v>
      </c>
      <c r="E123" s="50">
        <v>3</v>
      </c>
      <c r="F123" s="50"/>
      <c r="G123" s="5"/>
      <c r="H123" s="139"/>
      <c r="I123" s="36"/>
      <c r="J123" s="139"/>
      <c r="L123" s="139"/>
      <c r="M123" s="208"/>
    </row>
    <row r="124" spans="1:13" ht="12">
      <c r="A124" s="11">
        <f t="shared" si="10"/>
        <v>4</v>
      </c>
      <c r="B124" s="11"/>
      <c r="C124" s="12" t="s">
        <v>335</v>
      </c>
      <c r="E124" s="50">
        <v>4</v>
      </c>
      <c r="F124" s="50"/>
      <c r="G124" s="5"/>
      <c r="H124" s="139">
        <f>3627*2</f>
        <v>7254</v>
      </c>
      <c r="I124" s="36"/>
      <c r="J124" s="139">
        <f>4316*2</f>
        <v>8632</v>
      </c>
      <c r="L124" s="139">
        <f>4725*2</f>
        <v>9450</v>
      </c>
      <c r="M124" s="208">
        <f>(L124/J124)-1</f>
        <v>0.09476367006487485</v>
      </c>
    </row>
    <row r="125" spans="1:13" ht="12">
      <c r="A125" s="11">
        <f t="shared" si="10"/>
        <v>5</v>
      </c>
      <c r="B125" s="11"/>
      <c r="C125" s="7" t="s">
        <v>336</v>
      </c>
      <c r="E125" s="50">
        <v>5</v>
      </c>
      <c r="F125" s="50"/>
      <c r="G125" s="5"/>
      <c r="H125" s="139">
        <f>2997*2</f>
        <v>5994</v>
      </c>
      <c r="I125" s="36"/>
      <c r="J125" s="139">
        <f>3749*2</f>
        <v>7498</v>
      </c>
      <c r="L125" s="139">
        <f>4106*2</f>
        <v>8212</v>
      </c>
      <c r="M125" s="208">
        <f>(L125/J125)-1</f>
        <v>0.0952253934382501</v>
      </c>
    </row>
    <row r="126" spans="1:13" ht="12">
      <c r="A126" s="11">
        <f t="shared" si="10"/>
        <v>6</v>
      </c>
      <c r="B126" s="11"/>
      <c r="C126" s="12" t="s">
        <v>337</v>
      </c>
      <c r="E126" s="50">
        <v>6</v>
      </c>
      <c r="F126" s="50"/>
      <c r="G126" s="5"/>
      <c r="H126" s="139">
        <f>2367*2</f>
        <v>4734</v>
      </c>
      <c r="I126" s="36"/>
      <c r="J126" s="139">
        <f>2814*2</f>
        <v>5628</v>
      </c>
      <c r="L126" s="139">
        <f>3077*2</f>
        <v>6154</v>
      </c>
      <c r="M126" s="208">
        <f>(L126/J126)-1</f>
        <v>0.09346126510305619</v>
      </c>
    </row>
    <row r="127" spans="1:13" ht="12">
      <c r="A127" s="11">
        <f t="shared" si="10"/>
        <v>7</v>
      </c>
      <c r="B127" s="11"/>
      <c r="C127" s="12" t="s">
        <v>0</v>
      </c>
      <c r="E127" s="50">
        <v>7</v>
      </c>
      <c r="F127" s="50"/>
      <c r="G127" s="5"/>
      <c r="H127" s="139"/>
      <c r="I127" s="36"/>
      <c r="J127" s="139"/>
      <c r="L127" s="139"/>
      <c r="M127" s="208"/>
    </row>
    <row r="128" spans="1:13" ht="12">
      <c r="A128" s="11">
        <f t="shared" si="10"/>
        <v>8</v>
      </c>
      <c r="B128" s="11"/>
      <c r="E128" s="50">
        <v>8</v>
      </c>
      <c r="F128" s="50"/>
      <c r="G128" s="5"/>
      <c r="H128" s="139"/>
      <c r="I128" s="5"/>
      <c r="J128" s="139"/>
      <c r="L128" s="139"/>
      <c r="M128" s="208"/>
    </row>
    <row r="129" spans="1:13" ht="12">
      <c r="A129" s="11">
        <f t="shared" si="10"/>
        <v>9</v>
      </c>
      <c r="B129" s="11"/>
      <c r="C129" s="12" t="s">
        <v>338</v>
      </c>
      <c r="E129" s="50">
        <v>9</v>
      </c>
      <c r="F129" s="50"/>
      <c r="G129" s="5"/>
      <c r="H129" s="139">
        <f>544.58*2</f>
        <v>1089.16</v>
      </c>
      <c r="I129" s="5"/>
      <c r="J129" s="139">
        <f>608.61*2</f>
        <v>1217.22</v>
      </c>
      <c r="L129" s="139">
        <f>677.98*2</f>
        <v>1355.96</v>
      </c>
      <c r="M129" s="208">
        <f>(L129/J129)-1</f>
        <v>0.11398103876045407</v>
      </c>
    </row>
    <row r="130" spans="1:13" ht="12">
      <c r="A130" s="11">
        <f t="shared" si="10"/>
        <v>10</v>
      </c>
      <c r="B130" s="11"/>
      <c r="C130" s="12" t="s">
        <v>0</v>
      </c>
      <c r="E130" s="50">
        <v>10</v>
      </c>
      <c r="F130" s="50"/>
      <c r="G130" s="5"/>
      <c r="H130" s="139"/>
      <c r="I130" s="5"/>
      <c r="J130" s="139"/>
      <c r="L130" s="139"/>
      <c r="M130" s="208"/>
    </row>
    <row r="131" spans="1:13" ht="12">
      <c r="A131" s="11">
        <f t="shared" si="10"/>
        <v>11</v>
      </c>
      <c r="B131" s="11"/>
      <c r="C131" s="12" t="s">
        <v>142</v>
      </c>
      <c r="E131" s="50">
        <v>11</v>
      </c>
      <c r="F131" s="50"/>
      <c r="G131" s="5"/>
      <c r="H131" s="139"/>
      <c r="I131" s="5"/>
      <c r="J131" s="139"/>
      <c r="L131" s="139"/>
      <c r="M131" s="208"/>
    </row>
    <row r="132" spans="1:13" ht="12">
      <c r="A132" s="11">
        <f t="shared" si="10"/>
        <v>12</v>
      </c>
      <c r="B132" s="11"/>
      <c r="C132" s="12" t="s">
        <v>140</v>
      </c>
      <c r="E132" s="50">
        <v>12</v>
      </c>
      <c r="F132" s="50"/>
      <c r="G132" s="5"/>
      <c r="H132" s="139">
        <f>3285*2</f>
        <v>6570</v>
      </c>
      <c r="I132" s="5"/>
      <c r="J132" s="139">
        <f>3515*2</f>
        <v>7030</v>
      </c>
      <c r="L132" s="139">
        <f>3789*2</f>
        <v>7578</v>
      </c>
      <c r="M132" s="208">
        <f>(L132/J132)-1</f>
        <v>0.07795163584637277</v>
      </c>
    </row>
    <row r="133" spans="1:13" ht="12">
      <c r="A133" s="11">
        <f t="shared" si="10"/>
        <v>13</v>
      </c>
      <c r="B133" s="11"/>
      <c r="C133" s="12" t="s">
        <v>141</v>
      </c>
      <c r="E133" s="50">
        <v>13</v>
      </c>
      <c r="F133" s="50"/>
      <c r="G133" s="5"/>
      <c r="H133" s="139"/>
      <c r="I133" s="5"/>
      <c r="J133" s="139"/>
      <c r="L133" s="139"/>
      <c r="M133" s="208"/>
    </row>
    <row r="134" spans="1:13" ht="12">
      <c r="A134" s="11">
        <f t="shared" si="10"/>
        <v>14</v>
      </c>
      <c r="B134" s="11"/>
      <c r="C134" s="12" t="s">
        <v>335</v>
      </c>
      <c r="E134" s="50">
        <v>14</v>
      </c>
      <c r="F134" s="50"/>
      <c r="G134" s="5"/>
      <c r="H134" s="139">
        <f>4716*2</f>
        <v>9432</v>
      </c>
      <c r="I134" s="155"/>
      <c r="J134" s="139">
        <f>5046*2</f>
        <v>10092</v>
      </c>
      <c r="L134" s="139">
        <f>5436*2</f>
        <v>10872</v>
      </c>
      <c r="M134" s="208">
        <f>(L134/J134)-1</f>
        <v>0.07728894173602852</v>
      </c>
    </row>
    <row r="135" spans="1:13" ht="12">
      <c r="A135" s="11">
        <f t="shared" si="10"/>
        <v>15</v>
      </c>
      <c r="B135" s="11"/>
      <c r="C135" s="12" t="s">
        <v>339</v>
      </c>
      <c r="E135" s="50">
        <v>15</v>
      </c>
      <c r="F135" s="50"/>
      <c r="G135" s="5"/>
      <c r="H135" s="139">
        <f>4896*2</f>
        <v>9792</v>
      </c>
      <c r="I135" s="155"/>
      <c r="J135" s="139">
        <f>5239*2</f>
        <v>10478</v>
      </c>
      <c r="L135" s="139">
        <f>6262*2</f>
        <v>12524</v>
      </c>
      <c r="M135" s="208">
        <f>((L135+L136)/2/J135)-1</f>
        <v>0.1361901126169116</v>
      </c>
    </row>
    <row r="136" spans="1:13" ht="12">
      <c r="A136" s="11">
        <f t="shared" si="10"/>
        <v>16</v>
      </c>
      <c r="B136" s="11"/>
      <c r="C136" s="7" t="s">
        <v>340</v>
      </c>
      <c r="E136" s="50">
        <v>16</v>
      </c>
      <c r="F136" s="50"/>
      <c r="G136" s="5"/>
      <c r="L136" s="139">
        <f>5643*2</f>
        <v>11286</v>
      </c>
      <c r="M136" s="208"/>
    </row>
    <row r="137" spans="1:13" ht="12">
      <c r="A137" s="11">
        <f t="shared" si="10"/>
        <v>17</v>
      </c>
      <c r="B137" s="11"/>
      <c r="C137" s="12" t="s">
        <v>336</v>
      </c>
      <c r="E137" s="50">
        <v>17</v>
      </c>
      <c r="F137" s="50"/>
      <c r="G137" s="5"/>
      <c r="H137" s="139">
        <f>4005*2</f>
        <v>8010</v>
      </c>
      <c r="I137" s="155"/>
      <c r="J137" s="139">
        <f>4438*2</f>
        <v>8876</v>
      </c>
      <c r="L137" s="139">
        <f>4779*2</f>
        <v>9558</v>
      </c>
      <c r="M137" s="208">
        <f>(L137/J137)-1</f>
        <v>0.07683641279855791</v>
      </c>
    </row>
    <row r="138" spans="1:13" ht="12">
      <c r="A138" s="11">
        <f t="shared" si="10"/>
        <v>18</v>
      </c>
      <c r="B138" s="11"/>
      <c r="C138" s="12" t="s">
        <v>0</v>
      </c>
      <c r="E138" s="50">
        <v>18</v>
      </c>
      <c r="F138" s="50"/>
      <c r="G138" s="5"/>
      <c r="H138" s="139"/>
      <c r="I138" s="155"/>
      <c r="J138" s="139"/>
      <c r="L138" s="139"/>
      <c r="M138" s="208"/>
    </row>
    <row r="139" spans="1:13" ht="12">
      <c r="A139" s="11">
        <f t="shared" si="10"/>
        <v>19</v>
      </c>
      <c r="B139" s="11"/>
      <c r="C139" s="7" t="s">
        <v>143</v>
      </c>
      <c r="E139" s="50">
        <v>19</v>
      </c>
      <c r="F139" s="50"/>
      <c r="G139" s="5"/>
      <c r="H139" s="139"/>
      <c r="J139" s="139"/>
      <c r="L139" s="139"/>
      <c r="M139" s="208"/>
    </row>
    <row r="140" spans="1:13" ht="12">
      <c r="A140" s="11">
        <f t="shared" si="10"/>
        <v>20</v>
      </c>
      <c r="B140" s="11"/>
      <c r="C140" s="12" t="s">
        <v>140</v>
      </c>
      <c r="E140" s="50">
        <v>20</v>
      </c>
      <c r="F140" s="50"/>
      <c r="G140" s="5"/>
      <c r="H140" s="27"/>
      <c r="I140" s="5"/>
      <c r="J140" s="27"/>
      <c r="L140" s="27"/>
      <c r="M140" s="59"/>
    </row>
    <row r="141" spans="1:13" ht="12">
      <c r="A141" s="11">
        <f t="shared" si="10"/>
        <v>21</v>
      </c>
      <c r="B141" s="11"/>
      <c r="C141" s="12" t="s">
        <v>141</v>
      </c>
      <c r="E141" s="50">
        <v>21</v>
      </c>
      <c r="F141" s="50"/>
      <c r="G141" s="5"/>
      <c r="H141" s="27"/>
      <c r="I141" s="5"/>
      <c r="J141" s="27"/>
      <c r="L141" s="27"/>
      <c r="M141" s="59"/>
    </row>
    <row r="142" spans="1:13" ht="12">
      <c r="A142" s="11">
        <f t="shared" si="10"/>
        <v>22</v>
      </c>
      <c r="B142" s="11"/>
      <c r="C142" s="12" t="s">
        <v>341</v>
      </c>
      <c r="E142" s="50">
        <v>22</v>
      </c>
      <c r="F142" s="50"/>
      <c r="G142" s="5"/>
      <c r="H142" s="27">
        <f>7668*2</f>
        <v>15336</v>
      </c>
      <c r="I142" s="155"/>
      <c r="J142" s="27">
        <f>8511*2</f>
        <v>17022</v>
      </c>
      <c r="L142" s="27">
        <f>10170*2</f>
        <v>20340</v>
      </c>
      <c r="M142" s="208">
        <f>(L142/J142)-1</f>
        <v>0.19492421572083196</v>
      </c>
    </row>
    <row r="143" spans="1:13" ht="12">
      <c r="A143" s="11">
        <f t="shared" si="10"/>
        <v>23</v>
      </c>
      <c r="B143" s="11"/>
      <c r="C143" s="12" t="s">
        <v>342</v>
      </c>
      <c r="E143" s="50">
        <v>23</v>
      </c>
      <c r="F143" s="50"/>
      <c r="G143" s="5"/>
      <c r="H143" s="27">
        <f>7668*2</f>
        <v>15336</v>
      </c>
      <c r="I143" s="5"/>
      <c r="J143" s="27">
        <f>8205*2</f>
        <v>16410</v>
      </c>
      <c r="L143" s="27">
        <f>9162*2</f>
        <v>18324</v>
      </c>
      <c r="M143" s="208">
        <f>((L143+L144)/2/J143)-1</f>
        <v>0.09689213893967086</v>
      </c>
    </row>
    <row r="144" spans="1:13" ht="12">
      <c r="A144" s="11">
        <f t="shared" si="10"/>
        <v>24</v>
      </c>
      <c r="B144" s="11"/>
      <c r="C144" s="12" t="s">
        <v>343</v>
      </c>
      <c r="E144" s="50">
        <v>24</v>
      </c>
      <c r="F144" s="50"/>
      <c r="G144" s="5"/>
      <c r="H144" s="27"/>
      <c r="I144" s="5"/>
      <c r="J144" s="27"/>
      <c r="L144" s="27">
        <f>8838*2</f>
        <v>17676</v>
      </c>
      <c r="M144" s="68"/>
    </row>
    <row r="145" spans="1:13" ht="12">
      <c r="A145" s="11">
        <f t="shared" si="10"/>
        <v>25</v>
      </c>
      <c r="B145" s="11"/>
      <c r="E145" s="50">
        <v>25</v>
      </c>
      <c r="F145" s="50"/>
      <c r="G145" s="5"/>
      <c r="L145" s="139"/>
      <c r="M145" s="208"/>
    </row>
    <row r="146" spans="1:13" ht="12">
      <c r="A146" s="11">
        <f t="shared" si="10"/>
        <v>26</v>
      </c>
      <c r="B146" s="11"/>
      <c r="C146" s="7" t="s">
        <v>344</v>
      </c>
      <c r="E146" s="50">
        <v>26</v>
      </c>
      <c r="F146" s="50"/>
      <c r="G146" s="5"/>
      <c r="H146" s="139">
        <f>(544.58+4.5)*2</f>
        <v>1098.16</v>
      </c>
      <c r="I146" s="5"/>
      <c r="J146" s="139">
        <f>613.11*2</f>
        <v>1226.22</v>
      </c>
      <c r="L146" s="139">
        <f>682.48*2</f>
        <v>1364.96</v>
      </c>
      <c r="M146" s="208">
        <f>(L146/J146)-1</f>
        <v>0.11314446021105518</v>
      </c>
    </row>
    <row r="147" spans="1:13" ht="12">
      <c r="A147" s="11">
        <f t="shared" si="10"/>
        <v>27</v>
      </c>
      <c r="B147" s="11"/>
      <c r="C147" s="12" t="s">
        <v>0</v>
      </c>
      <c r="E147" s="50">
        <v>27</v>
      </c>
      <c r="F147" s="50"/>
      <c r="G147" s="5"/>
      <c r="H147" s="9"/>
      <c r="I147" s="5"/>
      <c r="J147" s="27"/>
      <c r="K147" s="27"/>
      <c r="L147" s="27"/>
      <c r="M147" s="59"/>
    </row>
    <row r="148" spans="1:13" ht="12">
      <c r="A148" s="11"/>
      <c r="B148" s="11"/>
      <c r="C148" s="12"/>
      <c r="E148" s="50"/>
      <c r="F148" s="50"/>
      <c r="G148" s="5"/>
      <c r="H148" s="55"/>
      <c r="I148" s="5"/>
      <c r="J148" s="55"/>
      <c r="K148" s="27"/>
      <c r="L148" s="27"/>
      <c r="M148" s="59"/>
    </row>
    <row r="149" spans="1:13" ht="12">
      <c r="A149" s="29"/>
      <c r="B149" s="29"/>
      <c r="C149" s="12"/>
      <c r="E149" s="50"/>
      <c r="F149" s="50"/>
      <c r="G149" s="5"/>
      <c r="H149" s="55"/>
      <c r="I149" s="5"/>
      <c r="J149" s="55"/>
      <c r="K149" s="5"/>
      <c r="L149" s="5"/>
      <c r="M149" s="59"/>
    </row>
    <row r="150" spans="1:13" ht="12">
      <c r="A150" s="11"/>
      <c r="B150" s="11"/>
      <c r="C150" s="12"/>
      <c r="E150" s="50"/>
      <c r="F150" s="50"/>
      <c r="G150" s="5"/>
      <c r="H150" s="59"/>
      <c r="I150" s="5"/>
      <c r="J150" s="59"/>
      <c r="K150" s="5"/>
      <c r="L150" s="5"/>
      <c r="M150" s="59"/>
    </row>
    <row r="151" spans="5:12" ht="12">
      <c r="E151" s="50"/>
      <c r="F151" s="50"/>
      <c r="G151" s="5"/>
      <c r="H151" s="59"/>
      <c r="I151" s="5"/>
      <c r="J151" s="59"/>
      <c r="K151" s="5"/>
      <c r="L151" s="5"/>
    </row>
    <row r="152" spans="1:13" ht="12">
      <c r="A152" s="16" t="s">
        <v>320</v>
      </c>
      <c r="B152" s="16"/>
      <c r="E152" s="50"/>
      <c r="F152" s="50"/>
      <c r="G152" s="5"/>
      <c r="H152" s="59"/>
      <c r="I152" s="5"/>
      <c r="J152" s="59"/>
      <c r="K152" s="5"/>
      <c r="L152" s="5"/>
      <c r="M152" s="146" t="s">
        <v>144</v>
      </c>
    </row>
    <row r="153" spans="1:13" ht="12">
      <c r="A153" s="269" t="s">
        <v>345</v>
      </c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</row>
    <row r="154" spans="1:13" ht="12">
      <c r="A154" s="16" t="s">
        <v>292</v>
      </c>
      <c r="B154" s="16"/>
      <c r="J154" s="59"/>
      <c r="K154" s="5"/>
      <c r="L154" s="5"/>
      <c r="M154" s="207" t="s">
        <v>293</v>
      </c>
    </row>
    <row r="155" spans="1:13" ht="12">
      <c r="A155" s="21" t="s">
        <v>1</v>
      </c>
      <c r="B155" s="21"/>
      <c r="C155" s="21" t="s">
        <v>1</v>
      </c>
      <c r="D155" s="21" t="s">
        <v>1</v>
      </c>
      <c r="E155" s="21" t="s">
        <v>1</v>
      </c>
      <c r="F155" s="21"/>
      <c r="G155" s="21" t="s">
        <v>1</v>
      </c>
      <c r="H155" s="21" t="s">
        <v>1</v>
      </c>
      <c r="I155" s="21" t="s">
        <v>1</v>
      </c>
      <c r="J155" s="21" t="s">
        <v>1</v>
      </c>
      <c r="K155" s="21" t="s">
        <v>1</v>
      </c>
      <c r="L155" s="21"/>
      <c r="M155" s="21" t="s">
        <v>1</v>
      </c>
    </row>
    <row r="156" spans="1:13" ht="12">
      <c r="A156" s="24" t="s">
        <v>2</v>
      </c>
      <c r="B156" s="24"/>
      <c r="E156" s="24" t="s">
        <v>2</v>
      </c>
      <c r="F156" s="24"/>
      <c r="G156" s="5"/>
      <c r="H156" s="130" t="s">
        <v>249</v>
      </c>
      <c r="I156" s="68"/>
      <c r="J156" s="130" t="s">
        <v>251</v>
      </c>
      <c r="L156" s="130" t="s">
        <v>260</v>
      </c>
      <c r="M156" s="146" t="s">
        <v>260</v>
      </c>
    </row>
    <row r="157" spans="1:13" ht="12">
      <c r="A157" s="24" t="s">
        <v>4</v>
      </c>
      <c r="B157" s="24"/>
      <c r="C157" s="12" t="s">
        <v>0</v>
      </c>
      <c r="E157" s="24" t="s">
        <v>4</v>
      </c>
      <c r="F157" s="24"/>
      <c r="G157" s="5"/>
      <c r="H157" s="130" t="s">
        <v>7</v>
      </c>
      <c r="I157" s="5"/>
      <c r="J157" s="130" t="s">
        <v>7</v>
      </c>
      <c r="L157" s="130" t="s">
        <v>8</v>
      </c>
      <c r="M157" s="146" t="s">
        <v>333</v>
      </c>
    </row>
    <row r="158" spans="1:13" ht="12">
      <c r="A158" s="21" t="s">
        <v>1</v>
      </c>
      <c r="B158" s="21"/>
      <c r="C158" s="21" t="s">
        <v>1</v>
      </c>
      <c r="D158" s="21" t="s">
        <v>1</v>
      </c>
      <c r="E158" s="21" t="s">
        <v>1</v>
      </c>
      <c r="F158" s="21"/>
      <c r="G158" s="21" t="s">
        <v>1</v>
      </c>
      <c r="H158" s="21" t="s">
        <v>1</v>
      </c>
      <c r="I158" s="21" t="s">
        <v>1</v>
      </c>
      <c r="J158" s="21" t="s">
        <v>1</v>
      </c>
      <c r="K158" s="21" t="s">
        <v>1</v>
      </c>
      <c r="L158" s="21" t="s">
        <v>1</v>
      </c>
      <c r="M158" s="21" t="s">
        <v>1</v>
      </c>
    </row>
    <row r="159" spans="1:13" ht="12">
      <c r="A159" s="11">
        <v>1</v>
      </c>
      <c r="B159" s="11"/>
      <c r="C159" s="12" t="s">
        <v>346</v>
      </c>
      <c r="E159" s="50">
        <v>1</v>
      </c>
      <c r="F159" s="50"/>
      <c r="G159" s="5"/>
      <c r="H159" s="59"/>
      <c r="I159" s="5"/>
      <c r="J159" s="59"/>
      <c r="L159" s="5"/>
      <c r="M159" s="59"/>
    </row>
    <row r="160" spans="1:13" ht="12">
      <c r="A160" s="11">
        <f aca="true" t="shared" si="11" ref="A160:A184">(A159+1)</f>
        <v>2</v>
      </c>
      <c r="B160" s="11"/>
      <c r="C160" s="12" t="s">
        <v>140</v>
      </c>
      <c r="E160" s="50">
        <v>2</v>
      </c>
      <c r="F160" s="50"/>
      <c r="G160" s="5"/>
      <c r="H160" s="139">
        <f>11225*2</f>
        <v>22450</v>
      </c>
      <c r="I160" s="36"/>
      <c r="J160" s="139">
        <f>11790*2</f>
        <v>23580</v>
      </c>
      <c r="L160" s="139">
        <f>12700*2</f>
        <v>25400</v>
      </c>
      <c r="M160" s="208">
        <f>(L160/J160)-1</f>
        <v>0.07718405428329089</v>
      </c>
    </row>
    <row r="161" spans="1:13" ht="12">
      <c r="A161" s="11">
        <f t="shared" si="11"/>
        <v>3</v>
      </c>
      <c r="B161" s="11"/>
      <c r="C161" s="12" t="s">
        <v>141</v>
      </c>
      <c r="E161" s="50">
        <v>3</v>
      </c>
      <c r="F161" s="50"/>
      <c r="G161" s="5"/>
      <c r="H161" s="139"/>
      <c r="I161" s="36"/>
      <c r="J161" s="139"/>
      <c r="L161" s="139"/>
      <c r="M161" s="208"/>
    </row>
    <row r="162" spans="1:13" ht="12">
      <c r="A162" s="11">
        <f t="shared" si="11"/>
        <v>4</v>
      </c>
      <c r="B162" s="11"/>
      <c r="C162" s="12" t="s">
        <v>335</v>
      </c>
      <c r="E162" s="50">
        <v>4</v>
      </c>
      <c r="F162" s="50"/>
      <c r="G162" s="5"/>
      <c r="H162" s="139">
        <f>12650*2</f>
        <v>25300</v>
      </c>
      <c r="I162" s="36"/>
      <c r="J162" s="139">
        <f>13280*2</f>
        <v>26560</v>
      </c>
      <c r="L162" s="139">
        <f>14300*2</f>
        <v>28600</v>
      </c>
      <c r="M162" s="208">
        <f>(L162/J162)-1</f>
        <v>0.07680722891566272</v>
      </c>
    </row>
    <row r="163" spans="1:13" ht="12">
      <c r="A163" s="11">
        <f t="shared" si="11"/>
        <v>5</v>
      </c>
      <c r="B163" s="11"/>
      <c r="C163" s="7" t="s">
        <v>336</v>
      </c>
      <c r="E163" s="50">
        <v>5</v>
      </c>
      <c r="F163" s="50"/>
      <c r="G163" s="5"/>
      <c r="H163" s="139">
        <f>11900*2</f>
        <v>23800</v>
      </c>
      <c r="I163" s="36"/>
      <c r="J163" s="139">
        <f>12645*2</f>
        <v>25290</v>
      </c>
      <c r="L163" s="139">
        <f>13620*2</f>
        <v>27240</v>
      </c>
      <c r="M163" s="208">
        <f>(L163/J163)-1</f>
        <v>0.07710557532621598</v>
      </c>
    </row>
    <row r="164" spans="1:13" ht="12">
      <c r="A164" s="11">
        <f t="shared" si="11"/>
        <v>6</v>
      </c>
      <c r="B164" s="11"/>
      <c r="C164" s="12" t="s">
        <v>337</v>
      </c>
      <c r="E164" s="50">
        <v>6</v>
      </c>
      <c r="F164" s="50"/>
      <c r="G164" s="5"/>
      <c r="H164" s="139">
        <f>11350*2</f>
        <v>22700</v>
      </c>
      <c r="I164" s="36"/>
      <c r="J164" s="139">
        <f>11915*2</f>
        <v>23830</v>
      </c>
      <c r="L164" s="139">
        <f>12830*2</f>
        <v>25660</v>
      </c>
      <c r="M164" s="208">
        <f>(L164/J164)-1</f>
        <v>0.07679395719681081</v>
      </c>
    </row>
    <row r="165" spans="1:13" ht="12">
      <c r="A165" s="11">
        <f t="shared" si="11"/>
        <v>7</v>
      </c>
      <c r="B165" s="11"/>
      <c r="C165" s="12" t="s">
        <v>0</v>
      </c>
      <c r="E165" s="50">
        <v>7</v>
      </c>
      <c r="F165" s="50"/>
      <c r="G165" s="5"/>
      <c r="H165" s="139"/>
      <c r="I165" s="36"/>
      <c r="J165" s="139"/>
      <c r="L165" s="139"/>
      <c r="M165" s="208"/>
    </row>
    <row r="166" spans="1:13" ht="12">
      <c r="A166" s="11">
        <f t="shared" si="11"/>
        <v>8</v>
      </c>
      <c r="B166" s="11"/>
      <c r="E166" s="50">
        <v>8</v>
      </c>
      <c r="F166" s="50"/>
      <c r="G166" s="5"/>
      <c r="H166" s="139"/>
      <c r="I166" s="5"/>
      <c r="J166" s="139"/>
      <c r="L166" s="139"/>
      <c r="M166" s="208"/>
    </row>
    <row r="167" spans="1:13" ht="12">
      <c r="A167" s="11">
        <f t="shared" si="11"/>
        <v>9</v>
      </c>
      <c r="B167" s="11"/>
      <c r="C167" s="12" t="s">
        <v>338</v>
      </c>
      <c r="E167" s="50">
        <v>9</v>
      </c>
      <c r="F167" s="50"/>
      <c r="G167" s="5"/>
      <c r="H167" s="139">
        <f>544.58*2</f>
        <v>1089.16</v>
      </c>
      <c r="I167" s="5"/>
      <c r="J167" s="139">
        <f>608.61*2</f>
        <v>1217.22</v>
      </c>
      <c r="L167" s="139">
        <f>677.98*2</f>
        <v>1355.96</v>
      </c>
      <c r="M167" s="208">
        <f>(L167/J167)-1</f>
        <v>0.11398103876045407</v>
      </c>
    </row>
    <row r="168" spans="1:13" ht="12">
      <c r="A168" s="11">
        <f t="shared" si="11"/>
        <v>10</v>
      </c>
      <c r="B168" s="11"/>
      <c r="C168" s="12" t="s">
        <v>0</v>
      </c>
      <c r="E168" s="50">
        <v>10</v>
      </c>
      <c r="F168" s="50"/>
      <c r="G168" s="5"/>
      <c r="H168" s="139"/>
      <c r="I168" s="5"/>
      <c r="J168" s="139"/>
      <c r="L168" s="139"/>
      <c r="M168" s="208"/>
    </row>
    <row r="169" spans="1:13" ht="12">
      <c r="A169" s="11">
        <f t="shared" si="11"/>
        <v>11</v>
      </c>
      <c r="B169" s="11"/>
      <c r="C169" s="12" t="s">
        <v>142</v>
      </c>
      <c r="E169" s="50">
        <v>11</v>
      </c>
      <c r="F169" s="50"/>
      <c r="G169" s="5"/>
      <c r="H169" s="139"/>
      <c r="I169" s="5"/>
      <c r="J169" s="139"/>
      <c r="L169" s="139"/>
      <c r="M169" s="208"/>
    </row>
    <row r="170" spans="1:13" ht="12">
      <c r="A170" s="11">
        <f t="shared" si="11"/>
        <v>12</v>
      </c>
      <c r="B170" s="11"/>
      <c r="C170" s="12" t="s">
        <v>140</v>
      </c>
      <c r="E170" s="50">
        <v>12</v>
      </c>
      <c r="F170" s="50"/>
      <c r="G170" s="5"/>
      <c r="H170" s="139">
        <f>10863*2</f>
        <v>21726</v>
      </c>
      <c r="I170" s="5"/>
      <c r="J170" s="139">
        <f>10972*2</f>
        <v>21944</v>
      </c>
      <c r="L170" s="139">
        <f>11385*2</f>
        <v>22770</v>
      </c>
      <c r="M170" s="208">
        <f>(L170/J170)-1</f>
        <v>0.0376412686839227</v>
      </c>
    </row>
    <row r="171" spans="1:13" ht="12">
      <c r="A171" s="11">
        <f t="shared" si="11"/>
        <v>13</v>
      </c>
      <c r="B171" s="11"/>
      <c r="C171" s="12" t="s">
        <v>141</v>
      </c>
      <c r="E171" s="50">
        <v>13</v>
      </c>
      <c r="F171" s="50"/>
      <c r="G171" s="5"/>
      <c r="H171" s="139"/>
      <c r="I171" s="5"/>
      <c r="J171" s="139"/>
      <c r="L171" s="139"/>
      <c r="M171" s="208"/>
    </row>
    <row r="172" spans="1:13" ht="12">
      <c r="A172" s="11">
        <f t="shared" si="11"/>
        <v>14</v>
      </c>
      <c r="B172" s="11"/>
      <c r="C172" s="12" t="s">
        <v>347</v>
      </c>
      <c r="E172" s="50">
        <v>14</v>
      </c>
      <c r="F172" s="50"/>
      <c r="G172" s="5"/>
      <c r="H172" s="139">
        <f>12195*2</f>
        <v>24390</v>
      </c>
      <c r="I172" s="155"/>
      <c r="J172" s="139">
        <f>12317*2</f>
        <v>24634</v>
      </c>
      <c r="L172" s="139">
        <f>12789*2</f>
        <v>25578</v>
      </c>
      <c r="M172" s="208">
        <f>(L172/J172)-1</f>
        <v>0.038321019728830175</v>
      </c>
    </row>
    <row r="173" spans="1:13" ht="12">
      <c r="A173" s="11">
        <f t="shared" si="11"/>
        <v>15</v>
      </c>
      <c r="B173" s="11"/>
      <c r="C173" s="7" t="s">
        <v>348</v>
      </c>
      <c r="E173" s="50">
        <v>15</v>
      </c>
      <c r="F173" s="50"/>
      <c r="G173" s="5"/>
      <c r="L173" s="139">
        <f>13000*2</f>
        <v>26000</v>
      </c>
      <c r="M173" s="209" t="e">
        <f>(L173/J173)-1</f>
        <v>#DIV/0!</v>
      </c>
    </row>
    <row r="174" spans="1:13" ht="12">
      <c r="A174" s="11">
        <f t="shared" si="11"/>
        <v>16</v>
      </c>
      <c r="B174" s="11"/>
      <c r="C174" s="12" t="s">
        <v>336</v>
      </c>
      <c r="E174" s="50">
        <v>16</v>
      </c>
      <c r="F174" s="50"/>
      <c r="G174" s="5"/>
      <c r="H174" s="139">
        <f>11520*2</f>
        <v>23040</v>
      </c>
      <c r="I174" s="155"/>
      <c r="J174" s="139">
        <f>11788*2</f>
        <v>23576</v>
      </c>
      <c r="L174" s="139">
        <f>12240*2</f>
        <v>24480</v>
      </c>
      <c r="M174" s="208">
        <f>(L174/J174)-1</f>
        <v>0.03834407872412626</v>
      </c>
    </row>
    <row r="175" spans="1:13" ht="12">
      <c r="A175" s="11">
        <f t="shared" si="11"/>
        <v>17</v>
      </c>
      <c r="B175" s="11"/>
      <c r="C175" s="12" t="s">
        <v>337</v>
      </c>
      <c r="E175" s="50">
        <v>17</v>
      </c>
      <c r="F175" s="50"/>
      <c r="G175" s="5"/>
      <c r="H175" s="139">
        <f>10989*2</f>
        <v>21978</v>
      </c>
      <c r="I175" s="155"/>
      <c r="J175" s="139">
        <f>11099*2</f>
        <v>22198</v>
      </c>
      <c r="L175" s="139">
        <f>11520*2</f>
        <v>23040</v>
      </c>
      <c r="M175" s="208">
        <f>(L175/J175)-1</f>
        <v>0.03793134516623109</v>
      </c>
    </row>
    <row r="176" spans="1:13" ht="12">
      <c r="A176" s="11">
        <f t="shared" si="11"/>
        <v>18</v>
      </c>
      <c r="B176" s="11"/>
      <c r="E176" s="50">
        <v>18</v>
      </c>
      <c r="F176" s="50"/>
      <c r="G176" s="5"/>
      <c r="H176" s="139"/>
      <c r="J176" s="139"/>
      <c r="L176" s="139"/>
      <c r="M176" s="208"/>
    </row>
    <row r="177" spans="1:13" ht="12">
      <c r="A177" s="11">
        <f t="shared" si="11"/>
        <v>19</v>
      </c>
      <c r="B177" s="11"/>
      <c r="C177" s="7" t="s">
        <v>143</v>
      </c>
      <c r="E177" s="50">
        <v>19</v>
      </c>
      <c r="F177" s="50"/>
      <c r="G177" s="5"/>
      <c r="H177" s="139"/>
      <c r="I177" s="5"/>
      <c r="J177" s="139"/>
      <c r="L177" s="139"/>
      <c r="M177" s="208"/>
    </row>
    <row r="178" spans="1:13" ht="12">
      <c r="A178" s="11">
        <f t="shared" si="11"/>
        <v>20</v>
      </c>
      <c r="B178" s="11"/>
      <c r="C178" s="12" t="s">
        <v>140</v>
      </c>
      <c r="E178" s="50">
        <v>20</v>
      </c>
      <c r="F178" s="50"/>
      <c r="G178" s="5"/>
      <c r="H178" s="139"/>
      <c r="J178" s="139"/>
      <c r="L178" s="139"/>
      <c r="M178" s="208"/>
    </row>
    <row r="179" spans="1:13" ht="12">
      <c r="A179" s="11">
        <f t="shared" si="11"/>
        <v>21</v>
      </c>
      <c r="B179" s="11"/>
      <c r="C179" s="12" t="s">
        <v>141</v>
      </c>
      <c r="E179" s="50">
        <v>21</v>
      </c>
      <c r="F179" s="50"/>
      <c r="G179" s="5"/>
      <c r="H179" s="27"/>
      <c r="I179" s="5"/>
      <c r="J179" s="27"/>
      <c r="L179" s="27"/>
      <c r="M179" s="208"/>
    </row>
    <row r="180" spans="1:13" ht="12">
      <c r="A180" s="11">
        <f t="shared" si="11"/>
        <v>22</v>
      </c>
      <c r="B180" s="11"/>
      <c r="C180" s="12" t="s">
        <v>349</v>
      </c>
      <c r="E180" s="50">
        <v>22</v>
      </c>
      <c r="F180" s="50"/>
      <c r="G180" s="5"/>
      <c r="H180" s="27">
        <f>14706*2</f>
        <v>29412</v>
      </c>
      <c r="I180" s="155"/>
      <c r="J180" s="27">
        <f>14853*2</f>
        <v>29706</v>
      </c>
      <c r="L180" s="27">
        <f>15426*2</f>
        <v>30852</v>
      </c>
      <c r="M180" s="208">
        <f>(L180/J180)-1</f>
        <v>0.03857806503736616</v>
      </c>
    </row>
    <row r="181" spans="1:13" ht="12">
      <c r="A181" s="11">
        <f t="shared" si="11"/>
        <v>23</v>
      </c>
      <c r="B181" s="11"/>
      <c r="E181" s="50">
        <v>23</v>
      </c>
      <c r="F181" s="50"/>
      <c r="G181" s="5"/>
      <c r="H181" s="27"/>
      <c r="I181" s="5"/>
      <c r="J181" s="27"/>
      <c r="L181" s="27"/>
      <c r="M181" s="68"/>
    </row>
    <row r="182" spans="1:13" ht="12">
      <c r="A182" s="11">
        <f t="shared" si="11"/>
        <v>24</v>
      </c>
      <c r="B182" s="11"/>
      <c r="C182" s="12"/>
      <c r="E182" s="50">
        <v>24</v>
      </c>
      <c r="F182" s="50"/>
      <c r="G182" s="5"/>
      <c r="H182" s="27"/>
      <c r="I182" s="5"/>
      <c r="J182" s="27"/>
      <c r="L182" s="27"/>
      <c r="M182" s="68"/>
    </row>
    <row r="183" spans="1:13" ht="12">
      <c r="A183" s="11">
        <f t="shared" si="11"/>
        <v>25</v>
      </c>
      <c r="B183" s="11"/>
      <c r="C183" s="7" t="s">
        <v>344</v>
      </c>
      <c r="E183" s="50">
        <v>25</v>
      </c>
      <c r="F183" s="50"/>
      <c r="G183" s="5"/>
      <c r="H183" s="139">
        <f>(544.58+4.5)*2</f>
        <v>1098.16</v>
      </c>
      <c r="I183" s="5"/>
      <c r="J183" s="139">
        <f>613.11*2</f>
        <v>1226.22</v>
      </c>
      <c r="L183" s="139">
        <f>682.48*2</f>
        <v>1364.96</v>
      </c>
      <c r="M183" s="208">
        <f>(L183/J183)-1</f>
        <v>0.11314446021105518</v>
      </c>
    </row>
    <row r="184" spans="1:13" ht="12">
      <c r="A184" s="11">
        <f t="shared" si="11"/>
        <v>26</v>
      </c>
      <c r="B184" s="11"/>
      <c r="C184" s="12" t="s">
        <v>0</v>
      </c>
      <c r="E184" s="50">
        <v>26</v>
      </c>
      <c r="F184" s="50"/>
      <c r="G184" s="5"/>
      <c r="H184" s="55"/>
      <c r="I184" s="5"/>
      <c r="J184" s="55"/>
      <c r="K184" s="27"/>
      <c r="L184" s="27"/>
      <c r="M184" s="59"/>
    </row>
    <row r="185" spans="1:13" ht="12">
      <c r="A185" s="11"/>
      <c r="B185" s="11"/>
      <c r="C185" s="12" t="s">
        <v>0</v>
      </c>
      <c r="E185" s="50"/>
      <c r="F185" s="50"/>
      <c r="G185" s="5"/>
      <c r="H185" s="9"/>
      <c r="I185" s="5"/>
      <c r="J185" s="55"/>
      <c r="K185" s="55"/>
      <c r="L185" s="55"/>
      <c r="M185" s="59"/>
    </row>
    <row r="186" spans="11:12" ht="12">
      <c r="K186" s="9"/>
      <c r="L186" s="9"/>
    </row>
    <row r="187" spans="3:13" ht="12">
      <c r="C187" s="12" t="s">
        <v>320</v>
      </c>
      <c r="K187" s="9"/>
      <c r="L187" s="9"/>
      <c r="M187" s="29" t="s">
        <v>163</v>
      </c>
    </row>
    <row r="188" spans="1:13" ht="12">
      <c r="A188" s="270" t="s">
        <v>350</v>
      </c>
      <c r="B188" s="270"/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</row>
    <row r="189" spans="3:13" ht="12">
      <c r="C189" s="16" t="s">
        <v>351</v>
      </c>
      <c r="D189" s="156"/>
      <c r="M189" s="207" t="s">
        <v>352</v>
      </c>
    </row>
    <row r="190" spans="3:13" ht="12">
      <c r="C190" s="21" t="s">
        <v>1</v>
      </c>
      <c r="D190" s="21" t="s">
        <v>1</v>
      </c>
      <c r="G190" s="21" t="s">
        <v>1</v>
      </c>
      <c r="H190" s="21" t="s">
        <v>1</v>
      </c>
      <c r="I190" s="21" t="s">
        <v>1</v>
      </c>
      <c r="J190" s="21" t="s">
        <v>1</v>
      </c>
      <c r="K190" s="21" t="s">
        <v>1</v>
      </c>
      <c r="L190" s="21"/>
      <c r="M190" s="21"/>
    </row>
    <row r="191" spans="4:9" ht="12">
      <c r="D191" s="28" t="s">
        <v>249</v>
      </c>
      <c r="I191" s="28" t="s">
        <v>251</v>
      </c>
    </row>
    <row r="192" spans="4:9" ht="12">
      <c r="D192" s="28" t="s">
        <v>165</v>
      </c>
      <c r="I192" s="28" t="s">
        <v>165</v>
      </c>
    </row>
    <row r="193" spans="4:13" ht="12">
      <c r="D193" s="28" t="s">
        <v>21</v>
      </c>
      <c r="G193" s="28" t="s">
        <v>21</v>
      </c>
      <c r="H193" s="28" t="s">
        <v>166</v>
      </c>
      <c r="I193" s="28" t="s">
        <v>21</v>
      </c>
      <c r="J193" s="28" t="s">
        <v>21</v>
      </c>
      <c r="K193" s="28" t="s">
        <v>166</v>
      </c>
      <c r="L193" s="28"/>
      <c r="M193" s="28"/>
    </row>
    <row r="194" spans="3:13" ht="12">
      <c r="C194" s="28" t="s">
        <v>167</v>
      </c>
      <c r="D194" s="28" t="s">
        <v>168</v>
      </c>
      <c r="G194" s="28" t="s">
        <v>169</v>
      </c>
      <c r="H194" s="28" t="s">
        <v>170</v>
      </c>
      <c r="I194" s="28" t="s">
        <v>168</v>
      </c>
      <c r="J194" s="28" t="s">
        <v>169</v>
      </c>
      <c r="K194" s="28" t="s">
        <v>170</v>
      </c>
      <c r="L194" s="28"/>
      <c r="M194" s="28"/>
    </row>
    <row r="195" spans="3:13" ht="12">
      <c r="C195" s="21" t="s">
        <v>1</v>
      </c>
      <c r="D195" s="21" t="s">
        <v>1</v>
      </c>
      <c r="G195" s="21" t="s">
        <v>1</v>
      </c>
      <c r="H195" s="21" t="s">
        <v>1</v>
      </c>
      <c r="I195" s="21" t="s">
        <v>1</v>
      </c>
      <c r="J195" s="21" t="s">
        <v>1</v>
      </c>
      <c r="K195" s="21" t="s">
        <v>1</v>
      </c>
      <c r="L195" s="21"/>
      <c r="M195" s="21"/>
    </row>
    <row r="196" ht="12"/>
    <row r="197" spans="3:12" ht="12">
      <c r="C197" s="12" t="s">
        <v>171</v>
      </c>
      <c r="D197" s="8"/>
      <c r="G197" s="8"/>
      <c r="H197" s="149">
        <f>IF(G197=0,0,+D197/+G197)</f>
        <v>0</v>
      </c>
      <c r="I197" s="8"/>
      <c r="J197" s="8"/>
      <c r="K197" s="149">
        <f>IF(J197=0,0,+I197/+J197)</f>
        <v>0</v>
      </c>
      <c r="L197" s="149"/>
    </row>
    <row r="198" spans="4:10" ht="12">
      <c r="D198" s="8"/>
      <c r="G198" s="8"/>
      <c r="I198" s="8"/>
      <c r="J198" s="8"/>
    </row>
    <row r="199" spans="3:13" ht="12">
      <c r="C199" s="12" t="s">
        <v>172</v>
      </c>
      <c r="D199" s="17">
        <f>13619.43</f>
        <v>13619.43</v>
      </c>
      <c r="E199" s="17"/>
      <c r="F199" s="17"/>
      <c r="G199" s="17">
        <f>522.07</f>
        <v>522.07</v>
      </c>
      <c r="H199" s="149">
        <f>IF(G199=0,0,+D199/+G199)</f>
        <v>26.087363763479992</v>
      </c>
      <c r="I199" s="17">
        <f>13827.3</f>
        <v>13827.3</v>
      </c>
      <c r="J199" s="17">
        <f>554.6</f>
        <v>554.6</v>
      </c>
      <c r="K199" s="149">
        <f>IF(J199=0,0,+I199/+J199)</f>
        <v>24.93202307969708</v>
      </c>
      <c r="L199" s="149"/>
      <c r="M199" s="11"/>
    </row>
    <row r="200" spans="4:10" ht="12">
      <c r="D200" s="8"/>
      <c r="E200" s="8"/>
      <c r="F200" s="8"/>
      <c r="G200" s="8"/>
      <c r="I200" s="8"/>
      <c r="J200" s="8"/>
    </row>
    <row r="201" spans="3:13" ht="12">
      <c r="C201" s="12" t="s">
        <v>173</v>
      </c>
      <c r="D201" s="17">
        <f>9826</f>
        <v>9826</v>
      </c>
      <c r="E201" s="17"/>
      <c r="F201" s="17"/>
      <c r="G201" s="17">
        <f>564.52</f>
        <v>564.52</v>
      </c>
      <c r="H201" s="149">
        <f>IF(G201=0,0,+D201/+G201)</f>
        <v>17.40593778785517</v>
      </c>
      <c r="I201" s="17">
        <f>9701.6</f>
        <v>9701.6</v>
      </c>
      <c r="J201" s="17">
        <f>592.5</f>
        <v>592.5</v>
      </c>
      <c r="K201" s="149">
        <f>IF(J201=0,0,+I201/+J201)</f>
        <v>16.374008438818567</v>
      </c>
      <c r="L201" s="149"/>
      <c r="M201" s="11"/>
    </row>
    <row r="202" spans="4:10" ht="12">
      <c r="D202" s="8"/>
      <c r="G202" s="8"/>
      <c r="I202" s="8"/>
      <c r="J202" s="8"/>
    </row>
    <row r="203" spans="3:13" ht="12">
      <c r="C203" s="12" t="s">
        <v>174</v>
      </c>
      <c r="D203" s="17">
        <f>SUM(D197:D201)</f>
        <v>23445.43</v>
      </c>
      <c r="E203" s="11"/>
      <c r="F203" s="11"/>
      <c r="G203" s="17">
        <f>SUM(G197:G201)</f>
        <v>1086.5900000000001</v>
      </c>
      <c r="H203" s="149">
        <f>IF(G203=0,0,+D203/+G203)</f>
        <v>21.57707138847219</v>
      </c>
      <c r="I203" s="17">
        <f>SUM(I197:I201)</f>
        <v>23528.9</v>
      </c>
      <c r="J203" s="17">
        <f>SUM(J197:J201)</f>
        <v>1147.1</v>
      </c>
      <c r="K203" s="149">
        <f>IF(J203=0,0,+I203/+J203)</f>
        <v>20.511638043762535</v>
      </c>
      <c r="L203" s="149"/>
      <c r="M203" s="11"/>
    </row>
    <row r="204" spans="4:10" ht="12">
      <c r="D204" s="8"/>
      <c r="G204" s="8"/>
      <c r="I204" s="8"/>
      <c r="J204" s="8"/>
    </row>
    <row r="205" spans="4:10" ht="12">
      <c r="D205" s="8"/>
      <c r="E205" s="8"/>
      <c r="F205" s="8"/>
      <c r="G205" s="8"/>
      <c r="I205" s="8"/>
      <c r="J205" s="8"/>
    </row>
    <row r="206" spans="3:13" ht="12">
      <c r="C206" s="12" t="s">
        <v>175</v>
      </c>
      <c r="D206" s="8">
        <f>1514.68</f>
        <v>1514.68</v>
      </c>
      <c r="E206" s="8"/>
      <c r="F206" s="8"/>
      <c r="G206" s="8">
        <f>277.55</f>
        <v>277.55</v>
      </c>
      <c r="H206" s="149">
        <f>IF(G206=0,0,+D206/+G206)</f>
        <v>5.457323004863989</v>
      </c>
      <c r="I206" s="8">
        <f>1548.8</f>
        <v>1548.8</v>
      </c>
      <c r="J206" s="8">
        <f>284.5</f>
        <v>284.5</v>
      </c>
      <c r="K206" s="149">
        <f>IF(J206=0,0,+I206/+J206)</f>
        <v>5.443936731107206</v>
      </c>
      <c r="L206" s="149"/>
      <c r="M206" s="11"/>
    </row>
    <row r="207" spans="4:10" ht="12">
      <c r="D207" s="8"/>
      <c r="E207" s="8"/>
      <c r="F207" s="8"/>
      <c r="G207" s="8"/>
      <c r="I207" s="8"/>
      <c r="J207" s="8"/>
    </row>
    <row r="208" spans="3:13" ht="12">
      <c r="C208" s="12" t="s">
        <v>176</v>
      </c>
      <c r="D208" s="8">
        <f>1000.17</f>
        <v>1000.17</v>
      </c>
      <c r="E208" s="8"/>
      <c r="F208" s="8"/>
      <c r="G208" s="8">
        <f>335.01</f>
        <v>335.01</v>
      </c>
      <c r="H208" s="149">
        <f>IF(G208=0,0,+D208/+G208)</f>
        <v>2.985492970359094</v>
      </c>
      <c r="I208" s="8">
        <f>1024.7</f>
        <v>1024.7</v>
      </c>
      <c r="J208" s="8">
        <f>335.7</f>
        <v>335.7</v>
      </c>
      <c r="K208" s="149">
        <f>IF(J208=0,0,+I208/+J208)</f>
        <v>3.0524277628835272</v>
      </c>
      <c r="L208" s="149"/>
      <c r="M208" s="11"/>
    </row>
    <row r="209" spans="4:10" ht="12">
      <c r="D209" s="8"/>
      <c r="E209" s="8"/>
      <c r="F209" s="8"/>
      <c r="G209" s="8"/>
      <c r="I209" s="8"/>
      <c r="J209" s="8"/>
    </row>
    <row r="210" spans="3:13" ht="12">
      <c r="C210" s="12" t="s">
        <v>177</v>
      </c>
      <c r="D210" s="8">
        <f>SUM(D206:D208)</f>
        <v>2514.85</v>
      </c>
      <c r="E210" s="8"/>
      <c r="F210" s="8"/>
      <c r="G210" s="8">
        <f>SUM(G206:G208)</f>
        <v>612.56</v>
      </c>
      <c r="H210" s="149">
        <f>IF(G210=0,0,+D210/+G210)</f>
        <v>4.105475382003396</v>
      </c>
      <c r="I210" s="8">
        <f>SUM(I206:I208)</f>
        <v>2573.5</v>
      </c>
      <c r="J210" s="8">
        <f>SUM(J206:J208)</f>
        <v>620.2</v>
      </c>
      <c r="K210" s="149">
        <f>IF(J210=0,0,+I210/+J210)</f>
        <v>4.149467913576266</v>
      </c>
      <c r="L210" s="149"/>
      <c r="M210" s="11"/>
    </row>
    <row r="211" spans="4:10" ht="12">
      <c r="D211" s="8"/>
      <c r="E211" s="8"/>
      <c r="F211" s="8"/>
      <c r="G211" s="8"/>
      <c r="I211" s="8"/>
      <c r="J211" s="8"/>
    </row>
    <row r="212" spans="3:13" ht="12">
      <c r="C212" s="12" t="s">
        <v>178</v>
      </c>
      <c r="D212" s="17">
        <f>D203+D210</f>
        <v>25960.28</v>
      </c>
      <c r="E212" s="8"/>
      <c r="F212" s="8"/>
      <c r="G212" s="17">
        <f>G203+G210</f>
        <v>1699.15</v>
      </c>
      <c r="H212" s="149">
        <f>IF(G212=0,0,+D212/+G212)</f>
        <v>15.278392137245092</v>
      </c>
      <c r="I212" s="17">
        <f>I203+I210</f>
        <v>26102.4</v>
      </c>
      <c r="J212" s="17">
        <f>J203+J210</f>
        <v>1767.3</v>
      </c>
      <c r="K212" s="149">
        <f>IF(J212=0,0,+I212/+J212)</f>
        <v>14.769648616533697</v>
      </c>
      <c r="L212" s="149"/>
      <c r="M212" s="11"/>
    </row>
    <row r="213" spans="4:7" ht="12">
      <c r="D213" s="8"/>
      <c r="E213" s="8"/>
      <c r="F213" s="8"/>
      <c r="G213" s="8"/>
    </row>
    <row r="214" ht="12"/>
    <row r="215" ht="12"/>
    <row r="216" ht="12"/>
    <row r="220" ht="12">
      <c r="C220" s="12" t="s">
        <v>179</v>
      </c>
    </row>
    <row r="221" ht="12">
      <c r="C221" s="12" t="s">
        <v>353</v>
      </c>
    </row>
    <row r="222" spans="5:12" ht="12">
      <c r="E222" s="50"/>
      <c r="F222" s="50"/>
      <c r="G222" s="5"/>
      <c r="H222" s="59"/>
      <c r="I222" s="5"/>
      <c r="J222" s="59"/>
      <c r="K222" s="5"/>
      <c r="L222" s="5"/>
    </row>
    <row r="223" spans="1:13" ht="12">
      <c r="A223" s="16" t="s">
        <v>320</v>
      </c>
      <c r="B223" s="16"/>
      <c r="E223" s="50"/>
      <c r="F223" s="50"/>
      <c r="G223" s="5"/>
      <c r="H223" s="59"/>
      <c r="I223" s="5"/>
      <c r="J223" s="59"/>
      <c r="K223" s="5"/>
      <c r="L223" s="5"/>
      <c r="M223" s="146" t="s">
        <v>60</v>
      </c>
    </row>
    <row r="224" spans="1:13" ht="12">
      <c r="A224" s="268" t="s">
        <v>354</v>
      </c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</row>
    <row r="225" spans="1:13" ht="12">
      <c r="A225" s="16" t="s">
        <v>292</v>
      </c>
      <c r="B225" s="16"/>
      <c r="G225" s="5"/>
      <c r="H225" s="59"/>
      <c r="I225" s="92"/>
      <c r="J225" s="210"/>
      <c r="K225" s="5"/>
      <c r="L225" s="5"/>
      <c r="M225" s="207" t="s">
        <v>293</v>
      </c>
    </row>
    <row r="226" spans="1:13" ht="12">
      <c r="A226" s="21" t="s">
        <v>1</v>
      </c>
      <c r="B226" s="21"/>
      <c r="C226" s="21" t="s">
        <v>1</v>
      </c>
      <c r="D226" s="21" t="s">
        <v>1</v>
      </c>
      <c r="E226" s="21" t="s">
        <v>1</v>
      </c>
      <c r="F226" s="21"/>
      <c r="G226" s="21" t="s">
        <v>1</v>
      </c>
      <c r="H226" s="21" t="s">
        <v>1</v>
      </c>
      <c r="I226" s="21" t="s">
        <v>1</v>
      </c>
      <c r="J226" s="21" t="s">
        <v>1</v>
      </c>
      <c r="K226" s="21" t="s">
        <v>1</v>
      </c>
      <c r="L226" s="21"/>
      <c r="M226" s="21" t="s">
        <v>1</v>
      </c>
    </row>
    <row r="227" spans="1:13" ht="12">
      <c r="A227" s="24" t="s">
        <v>2</v>
      </c>
      <c r="B227" s="24"/>
      <c r="E227" s="24" t="s">
        <v>2</v>
      </c>
      <c r="F227" s="24"/>
      <c r="G227" s="130"/>
      <c r="H227" s="130" t="s">
        <v>249</v>
      </c>
      <c r="I227" s="130"/>
      <c r="J227" s="130" t="s">
        <v>251</v>
      </c>
      <c r="K227" s="130"/>
      <c r="L227" s="130"/>
      <c r="M227" s="130" t="s">
        <v>260</v>
      </c>
    </row>
    <row r="228" spans="1:13" ht="12">
      <c r="A228" s="24" t="s">
        <v>4</v>
      </c>
      <c r="B228" s="24"/>
      <c r="C228" s="28" t="s">
        <v>20</v>
      </c>
      <c r="E228" s="24" t="s">
        <v>4</v>
      </c>
      <c r="F228" s="24"/>
      <c r="G228" s="149" t="s">
        <v>21</v>
      </c>
      <c r="H228" s="130" t="s">
        <v>7</v>
      </c>
      <c r="I228" s="149" t="s">
        <v>21</v>
      </c>
      <c r="J228" s="130" t="s">
        <v>7</v>
      </c>
      <c r="L228" s="149" t="s">
        <v>21</v>
      </c>
      <c r="M228" s="130" t="s">
        <v>8</v>
      </c>
    </row>
    <row r="229" spans="1:13" ht="12">
      <c r="A229" s="21" t="s">
        <v>1</v>
      </c>
      <c r="B229" s="21"/>
      <c r="C229" s="21" t="s">
        <v>1</v>
      </c>
      <c r="D229" s="21" t="s">
        <v>1</v>
      </c>
      <c r="E229" s="21" t="s">
        <v>1</v>
      </c>
      <c r="F229" s="21"/>
      <c r="G229" s="21" t="s">
        <v>1</v>
      </c>
      <c r="H229" s="21" t="s">
        <v>1</v>
      </c>
      <c r="I229" s="21" t="s">
        <v>1</v>
      </c>
      <c r="J229" s="21" t="s">
        <v>1</v>
      </c>
      <c r="L229" s="21" t="s">
        <v>1</v>
      </c>
      <c r="M229" s="143" t="s">
        <v>1</v>
      </c>
    </row>
    <row r="230" spans="1:13" ht="1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L230" s="21"/>
      <c r="M230" s="143"/>
    </row>
    <row r="231" spans="1:13" ht="12">
      <c r="A231" s="11">
        <v>1</v>
      </c>
      <c r="B231" s="11"/>
      <c r="C231" s="12" t="s">
        <v>61</v>
      </c>
      <c r="E231" s="11">
        <v>1</v>
      </c>
      <c r="F231" s="11"/>
      <c r="G231" s="68"/>
      <c r="H231" s="59"/>
      <c r="I231" s="68"/>
      <c r="J231" s="59"/>
      <c r="L231" s="68"/>
      <c r="M231" s="59"/>
    </row>
    <row r="232" spans="1:13" ht="12">
      <c r="A232" s="11">
        <f aca="true" t="shared" si="12" ref="A232:A253">(A231+1)</f>
        <v>2</v>
      </c>
      <c r="B232" s="11"/>
      <c r="C232" s="12" t="s">
        <v>355</v>
      </c>
      <c r="D232" s="12" t="s">
        <v>356</v>
      </c>
      <c r="E232" s="11">
        <f aca="true" t="shared" si="13" ref="E232:E253">(E231+1)</f>
        <v>2</v>
      </c>
      <c r="F232" s="11"/>
      <c r="G232" s="151">
        <f>78.67</f>
        <v>78.67</v>
      </c>
      <c r="H232" s="88">
        <f>1002612.7</f>
        <v>1002612.7</v>
      </c>
      <c r="I232" s="151">
        <f>83.63</f>
        <v>83.63</v>
      </c>
      <c r="J232" s="88">
        <f>1141064.95</f>
        <v>1141064.95</v>
      </c>
      <c r="L232" s="151">
        <f>85.16</f>
        <v>85.16</v>
      </c>
      <c r="M232" s="88">
        <f>1184630</f>
        <v>1184630</v>
      </c>
    </row>
    <row r="233" spans="1:13" ht="12">
      <c r="A233" s="11">
        <f t="shared" si="12"/>
        <v>3</v>
      </c>
      <c r="B233" s="11"/>
      <c r="D233" s="12" t="s">
        <v>357</v>
      </c>
      <c r="E233" s="11">
        <f t="shared" si="13"/>
        <v>3</v>
      </c>
      <c r="F233" s="11"/>
      <c r="G233" s="151">
        <f>938.93</f>
        <v>938.93</v>
      </c>
      <c r="H233" s="88">
        <f>9302275.36</f>
        <v>9302275.36</v>
      </c>
      <c r="I233" s="151">
        <f>914.03</f>
        <v>914.03</v>
      </c>
      <c r="J233" s="88">
        <f>9739747.31</f>
        <v>9739747.31</v>
      </c>
      <c r="L233" s="151">
        <f>845.98</f>
        <v>845.98</v>
      </c>
      <c r="M233" s="88">
        <f>9133003</f>
        <v>9133003</v>
      </c>
    </row>
    <row r="234" spans="1:13" ht="12">
      <c r="A234" s="11">
        <f t="shared" si="12"/>
        <v>4</v>
      </c>
      <c r="B234" s="11"/>
      <c r="C234" s="12" t="s">
        <v>358</v>
      </c>
      <c r="D234" s="12" t="s">
        <v>356</v>
      </c>
      <c r="E234" s="11">
        <f t="shared" si="13"/>
        <v>4</v>
      </c>
      <c r="F234" s="11"/>
      <c r="G234" s="151">
        <f>16.8</f>
        <v>16.8</v>
      </c>
      <c r="H234" s="88">
        <f>378994.28</f>
        <v>378994.28</v>
      </c>
      <c r="I234" s="151">
        <f>19</f>
        <v>19</v>
      </c>
      <c r="J234" s="88">
        <f>481018.74</f>
        <v>481018.74</v>
      </c>
      <c r="L234" s="151">
        <f>19.35</f>
        <v>19.35</v>
      </c>
      <c r="M234" s="88">
        <f>491787</f>
        <v>491787</v>
      </c>
    </row>
    <row r="235" spans="1:13" ht="12">
      <c r="A235" s="11">
        <f t="shared" si="12"/>
        <v>5</v>
      </c>
      <c r="B235" s="11"/>
      <c r="D235" s="12" t="s">
        <v>357</v>
      </c>
      <c r="E235" s="11">
        <f t="shared" si="13"/>
        <v>5</v>
      </c>
      <c r="F235" s="11"/>
      <c r="G235" s="151">
        <f>375.2</f>
        <v>375.2</v>
      </c>
      <c r="H235" s="88">
        <f>8958610.32</f>
        <v>8958610.32</v>
      </c>
      <c r="I235" s="151">
        <f>376</f>
        <v>376</v>
      </c>
      <c r="J235" s="88">
        <f>9712219.67</f>
        <v>9712219.67</v>
      </c>
      <c r="L235" s="151">
        <f>382.88</f>
        <v>382.88</v>
      </c>
      <c r="M235" s="88">
        <f>10138616</f>
        <v>10138616</v>
      </c>
    </row>
    <row r="236" spans="1:13" ht="12">
      <c r="A236" s="11">
        <f t="shared" si="12"/>
        <v>6</v>
      </c>
      <c r="B236" s="11"/>
      <c r="C236" s="12" t="s">
        <v>359</v>
      </c>
      <c r="E236" s="11">
        <f t="shared" si="13"/>
        <v>6</v>
      </c>
      <c r="F236" s="11"/>
      <c r="G236" s="68">
        <f aca="true" t="shared" si="14" ref="G236:M236">SUM(G232:G235)</f>
        <v>1409.6</v>
      </c>
      <c r="H236" s="59">
        <f t="shared" si="14"/>
        <v>19642492.659999996</v>
      </c>
      <c r="I236" s="68">
        <f t="shared" si="14"/>
        <v>1392.6599999999999</v>
      </c>
      <c r="J236" s="59">
        <f t="shared" si="14"/>
        <v>21074050.67</v>
      </c>
      <c r="L236" s="68">
        <f>SUM(L232:L235)</f>
        <v>1333.37</v>
      </c>
      <c r="M236" s="59">
        <f t="shared" si="14"/>
        <v>20948036</v>
      </c>
    </row>
    <row r="237" spans="1:13" ht="12">
      <c r="A237" s="11">
        <f t="shared" si="12"/>
        <v>7</v>
      </c>
      <c r="B237" s="11"/>
      <c r="C237" s="12" t="s">
        <v>65</v>
      </c>
      <c r="E237" s="11">
        <f t="shared" si="13"/>
        <v>7</v>
      </c>
      <c r="F237" s="11"/>
      <c r="G237" s="68"/>
      <c r="H237" s="59"/>
      <c r="I237" s="68"/>
      <c r="J237" s="59"/>
      <c r="L237" s="68"/>
      <c r="M237" s="59"/>
    </row>
    <row r="238" spans="1:13" ht="12">
      <c r="A238" s="11">
        <f t="shared" si="12"/>
        <v>8</v>
      </c>
      <c r="B238" s="11"/>
      <c r="C238" s="12" t="s">
        <v>355</v>
      </c>
      <c r="D238" s="12" t="s">
        <v>356</v>
      </c>
      <c r="E238" s="11">
        <f t="shared" si="13"/>
        <v>8</v>
      </c>
      <c r="F238" s="11"/>
      <c r="G238" s="151">
        <f>873.4</f>
        <v>873.4</v>
      </c>
      <c r="H238" s="88">
        <f>10502685.44</f>
        <v>10502685.44</v>
      </c>
      <c r="I238" s="151">
        <f>855.9</f>
        <v>855.9</v>
      </c>
      <c r="J238" s="88">
        <f>11038103.61</f>
        <v>11038103.61</v>
      </c>
      <c r="L238" s="151">
        <f>841.14</f>
        <v>841.14</v>
      </c>
      <c r="M238" s="211">
        <f>11284055</f>
        <v>11284055</v>
      </c>
    </row>
    <row r="239" spans="1:13" ht="12">
      <c r="A239" s="11">
        <f t="shared" si="12"/>
        <v>9</v>
      </c>
      <c r="B239" s="11"/>
      <c r="D239" s="12" t="s">
        <v>357</v>
      </c>
      <c r="E239" s="11">
        <f t="shared" si="13"/>
        <v>9</v>
      </c>
      <c r="F239" s="11"/>
      <c r="G239" s="151">
        <f>7845.8</f>
        <v>7845.8</v>
      </c>
      <c r="H239" s="88">
        <f>62405250.71</f>
        <v>62405250.71</v>
      </c>
      <c r="I239" s="151">
        <f>7828.13</f>
        <v>7828.13</v>
      </c>
      <c r="J239" s="88">
        <f>70931880.45</f>
        <v>70931880.45</v>
      </c>
      <c r="L239" s="151">
        <f>7781.28</f>
        <v>7781.28</v>
      </c>
      <c r="M239" s="211">
        <f>74764375</f>
        <v>74764375</v>
      </c>
    </row>
    <row r="240" spans="1:13" ht="12">
      <c r="A240" s="11">
        <f t="shared" si="12"/>
        <v>10</v>
      </c>
      <c r="B240" s="11"/>
      <c r="C240" s="12" t="s">
        <v>358</v>
      </c>
      <c r="D240" s="12" t="s">
        <v>356</v>
      </c>
      <c r="E240" s="11">
        <f t="shared" si="13"/>
        <v>10</v>
      </c>
      <c r="F240" s="11"/>
      <c r="G240" s="151">
        <f>333.93</f>
        <v>333.93</v>
      </c>
      <c r="H240" s="88">
        <f>10712192.08</f>
        <v>10712192.08</v>
      </c>
      <c r="I240" s="151">
        <f>382.07</f>
        <v>382.07</v>
      </c>
      <c r="J240" s="88">
        <f>12448182.36</f>
        <v>12448182.36</v>
      </c>
      <c r="L240" s="151">
        <f>395.54</f>
        <v>395.54</v>
      </c>
      <c r="M240" s="88">
        <f>13161788</f>
        <v>13161788</v>
      </c>
    </row>
    <row r="241" spans="1:13" ht="12">
      <c r="A241" s="11">
        <f t="shared" si="12"/>
        <v>11</v>
      </c>
      <c r="B241" s="11"/>
      <c r="D241" s="12" t="s">
        <v>357</v>
      </c>
      <c r="E241" s="11">
        <f t="shared" si="13"/>
        <v>11</v>
      </c>
      <c r="F241" s="11"/>
      <c r="G241" s="151">
        <f>3713.47</f>
        <v>3713.47</v>
      </c>
      <c r="H241" s="88">
        <f>87108424.19</f>
        <v>87108424.19</v>
      </c>
      <c r="I241" s="151">
        <f>3743.57</f>
        <v>3743.57</v>
      </c>
      <c r="J241" s="88">
        <f>88323290.09</f>
        <v>88323290.09</v>
      </c>
      <c r="L241" s="151">
        <f>4026.09</f>
        <v>4026.09</v>
      </c>
      <c r="M241" s="88">
        <f>97784763</f>
        <v>97784763</v>
      </c>
    </row>
    <row r="242" spans="1:13" ht="12">
      <c r="A242" s="11">
        <f t="shared" si="12"/>
        <v>12</v>
      </c>
      <c r="B242" s="11"/>
      <c r="C242" s="12" t="s">
        <v>360</v>
      </c>
      <c r="E242" s="11">
        <f t="shared" si="13"/>
        <v>12</v>
      </c>
      <c r="F242" s="11"/>
      <c r="G242" s="68">
        <f aca="true" t="shared" si="15" ref="G242:M242">SUM(G238:G241)</f>
        <v>12766.6</v>
      </c>
      <c r="H242" s="59">
        <f t="shared" si="15"/>
        <v>170728552.42000002</v>
      </c>
      <c r="I242" s="68">
        <f t="shared" si="15"/>
        <v>12809.67</v>
      </c>
      <c r="J242" s="59">
        <f t="shared" si="15"/>
        <v>182741456.51</v>
      </c>
      <c r="L242" s="68">
        <f>SUM(L238:L241)</f>
        <v>13044.050000000001</v>
      </c>
      <c r="M242" s="59">
        <f t="shared" si="15"/>
        <v>196994981</v>
      </c>
    </row>
    <row r="243" spans="1:13" ht="12">
      <c r="A243" s="11">
        <f t="shared" si="12"/>
        <v>13</v>
      </c>
      <c r="B243" s="11"/>
      <c r="C243" s="12" t="s">
        <v>67</v>
      </c>
      <c r="E243" s="11">
        <f t="shared" si="13"/>
        <v>13</v>
      </c>
      <c r="F243" s="11"/>
      <c r="G243" s="68"/>
      <c r="H243" s="59"/>
      <c r="I243" s="68"/>
      <c r="J243" s="59"/>
      <c r="L243" s="68"/>
      <c r="M243" s="59"/>
    </row>
    <row r="244" spans="1:13" ht="12">
      <c r="A244" s="11">
        <f t="shared" si="12"/>
        <v>14</v>
      </c>
      <c r="B244" s="11"/>
      <c r="C244" s="12" t="s">
        <v>355</v>
      </c>
      <c r="D244" s="12" t="s">
        <v>356</v>
      </c>
      <c r="E244" s="11">
        <f t="shared" si="13"/>
        <v>14</v>
      </c>
      <c r="F244" s="11"/>
      <c r="G244" s="151"/>
      <c r="H244" s="88"/>
      <c r="I244" s="151"/>
      <c r="J244" s="88"/>
      <c r="L244" s="151"/>
      <c r="M244" s="88"/>
    </row>
    <row r="245" spans="1:13" ht="12">
      <c r="A245" s="11">
        <f t="shared" si="12"/>
        <v>15</v>
      </c>
      <c r="B245" s="11"/>
      <c r="D245" s="12" t="s">
        <v>357</v>
      </c>
      <c r="E245" s="11">
        <f t="shared" si="13"/>
        <v>15</v>
      </c>
      <c r="F245" s="11"/>
      <c r="G245" s="151"/>
      <c r="H245" s="88"/>
      <c r="I245" s="151"/>
      <c r="J245" s="88"/>
      <c r="L245" s="151"/>
      <c r="M245" s="88"/>
    </row>
    <row r="246" spans="1:13" ht="12">
      <c r="A246" s="11">
        <f t="shared" si="12"/>
        <v>16</v>
      </c>
      <c r="B246" s="11"/>
      <c r="C246" s="12" t="s">
        <v>358</v>
      </c>
      <c r="D246" s="12" t="s">
        <v>356</v>
      </c>
      <c r="E246" s="11">
        <f t="shared" si="13"/>
        <v>16</v>
      </c>
      <c r="F246" s="11"/>
      <c r="G246" s="151"/>
      <c r="H246" s="88"/>
      <c r="I246" s="151"/>
      <c r="J246" s="88"/>
      <c r="L246" s="151"/>
      <c r="M246" s="88"/>
    </row>
    <row r="247" spans="1:13" ht="12">
      <c r="A247" s="11">
        <f t="shared" si="12"/>
        <v>17</v>
      </c>
      <c r="B247" s="11"/>
      <c r="D247" s="12" t="s">
        <v>357</v>
      </c>
      <c r="E247" s="11">
        <f t="shared" si="13"/>
        <v>17</v>
      </c>
      <c r="F247" s="11"/>
      <c r="G247" s="151"/>
      <c r="H247" s="88"/>
      <c r="I247" s="151"/>
      <c r="J247" s="88"/>
      <c r="L247" s="151"/>
      <c r="M247" s="88"/>
    </row>
    <row r="248" spans="1:13" ht="12">
      <c r="A248" s="11">
        <f t="shared" si="12"/>
        <v>18</v>
      </c>
      <c r="B248" s="11"/>
      <c r="C248" s="12" t="s">
        <v>361</v>
      </c>
      <c r="E248" s="11">
        <f t="shared" si="13"/>
        <v>18</v>
      </c>
      <c r="F248" s="11"/>
      <c r="G248" s="68">
        <f aca="true" t="shared" si="16" ref="G248:M248">SUM(G244:G247)</f>
        <v>0</v>
      </c>
      <c r="H248" s="59">
        <f t="shared" si="16"/>
        <v>0</v>
      </c>
      <c r="I248" s="68">
        <f t="shared" si="16"/>
        <v>0</v>
      </c>
      <c r="J248" s="59">
        <f t="shared" si="16"/>
        <v>0</v>
      </c>
      <c r="L248" s="68">
        <f>SUM(L244:L247)</f>
        <v>0</v>
      </c>
      <c r="M248" s="59">
        <f t="shared" si="16"/>
        <v>0</v>
      </c>
    </row>
    <row r="249" spans="1:12" ht="12">
      <c r="A249" s="11">
        <f t="shared" si="12"/>
        <v>19</v>
      </c>
      <c r="B249" s="11"/>
      <c r="C249" s="12" t="s">
        <v>69</v>
      </c>
      <c r="E249" s="11">
        <f t="shared" si="13"/>
        <v>19</v>
      </c>
      <c r="F249" s="11"/>
      <c r="G249" s="212"/>
      <c r="I249" s="212"/>
      <c r="L249" s="212"/>
    </row>
    <row r="250" spans="1:13" ht="12">
      <c r="A250" s="11">
        <f t="shared" si="12"/>
        <v>20</v>
      </c>
      <c r="B250" s="11"/>
      <c r="C250" s="12" t="s">
        <v>355</v>
      </c>
      <c r="D250" s="12" t="s">
        <v>356</v>
      </c>
      <c r="E250" s="11">
        <f t="shared" si="13"/>
        <v>20</v>
      </c>
      <c r="F250" s="11"/>
      <c r="G250" s="151">
        <f>808.37</f>
        <v>808.37</v>
      </c>
      <c r="H250" s="88">
        <f>9887001.81</f>
        <v>9887001.81</v>
      </c>
      <c r="I250" s="151">
        <f>811.27</f>
        <v>811.27</v>
      </c>
      <c r="J250" s="88">
        <f>10550627.11</f>
        <v>10550627.11</v>
      </c>
      <c r="L250" s="151">
        <f>787.7</f>
        <v>787.7</v>
      </c>
      <c r="M250" s="88">
        <f>10622730</f>
        <v>10622730</v>
      </c>
    </row>
    <row r="251" spans="1:13" ht="12">
      <c r="A251" s="11">
        <f t="shared" si="12"/>
        <v>21</v>
      </c>
      <c r="B251" s="11"/>
      <c r="D251" s="12" t="s">
        <v>357</v>
      </c>
      <c r="E251" s="11">
        <f t="shared" si="13"/>
        <v>21</v>
      </c>
      <c r="F251" s="11"/>
      <c r="G251" s="151">
        <f>7260.17</f>
        <v>7260.17</v>
      </c>
      <c r="H251" s="88">
        <f>57855827.91</f>
        <v>57855827.91</v>
      </c>
      <c r="I251" s="151">
        <f>7292.27</f>
        <v>7292.27</v>
      </c>
      <c r="J251" s="88">
        <f>65886163.97</f>
        <v>65886163.97</v>
      </c>
      <c r="L251" s="151">
        <f>7228.74</f>
        <v>7228.74</v>
      </c>
      <c r="M251" s="88">
        <f>69377820</f>
        <v>69377820</v>
      </c>
    </row>
    <row r="252" spans="1:13" ht="12">
      <c r="A252" s="11">
        <f t="shared" si="12"/>
        <v>22</v>
      </c>
      <c r="B252" s="11"/>
      <c r="C252" s="12" t="s">
        <v>358</v>
      </c>
      <c r="D252" s="12" t="s">
        <v>356</v>
      </c>
      <c r="E252" s="11">
        <f t="shared" si="13"/>
        <v>22</v>
      </c>
      <c r="F252" s="11"/>
      <c r="G252" s="151">
        <f>316.83</f>
        <v>316.83</v>
      </c>
      <c r="H252" s="88">
        <f>10171202.25</f>
        <v>10171202.25</v>
      </c>
      <c r="I252" s="151">
        <f>353.43</f>
        <v>353.43</v>
      </c>
      <c r="J252" s="88">
        <f>11530607.9</f>
        <v>11530607.9</v>
      </c>
      <c r="L252" s="151">
        <f>391.11</f>
        <v>391.11</v>
      </c>
      <c r="M252" s="88">
        <f>12180144</f>
        <v>12180144</v>
      </c>
    </row>
    <row r="253" spans="1:13" ht="12">
      <c r="A253" s="11">
        <f t="shared" si="12"/>
        <v>23</v>
      </c>
      <c r="B253" s="11"/>
      <c r="D253" s="12" t="s">
        <v>357</v>
      </c>
      <c r="E253" s="11">
        <f t="shared" si="13"/>
        <v>23</v>
      </c>
      <c r="F253" s="11"/>
      <c r="G253" s="151">
        <f>3398.73</f>
        <v>3398.73</v>
      </c>
      <c r="H253" s="88">
        <f>79577717.65</f>
        <v>79577717.65</v>
      </c>
      <c r="I253" s="151">
        <f>3443.1</f>
        <v>3443.1</v>
      </c>
      <c r="J253" s="88">
        <f>80853919.1</f>
        <v>80853919.1</v>
      </c>
      <c r="L253" s="151">
        <f>3795.03</f>
        <v>3795.03</v>
      </c>
      <c r="M253" s="88">
        <f>89153505</f>
        <v>89153505</v>
      </c>
    </row>
    <row r="254" spans="1:13" ht="12">
      <c r="A254" s="11">
        <v>24</v>
      </c>
      <c r="B254" s="11"/>
      <c r="C254" s="12" t="s">
        <v>362</v>
      </c>
      <c r="E254" s="11">
        <v>24</v>
      </c>
      <c r="F254" s="11"/>
      <c r="G254" s="68">
        <f aca="true" t="shared" si="17" ref="G254:M254">SUM(G250:G253)</f>
        <v>11784.1</v>
      </c>
      <c r="H254" s="59">
        <f t="shared" si="17"/>
        <v>157491749.62</v>
      </c>
      <c r="I254" s="68">
        <f t="shared" si="17"/>
        <v>11900.070000000002</v>
      </c>
      <c r="J254" s="59">
        <f t="shared" si="17"/>
        <v>168821318.07999998</v>
      </c>
      <c r="L254" s="68">
        <f>SUM(L250:L253)</f>
        <v>12202.58</v>
      </c>
      <c r="M254" s="59">
        <f t="shared" si="17"/>
        <v>181334199</v>
      </c>
    </row>
    <row r="255" spans="1:13" ht="12">
      <c r="A255" s="11">
        <v>25</v>
      </c>
      <c r="B255" s="11"/>
      <c r="C255" s="12"/>
      <c r="E255" s="11">
        <v>25</v>
      </c>
      <c r="F255" s="11"/>
      <c r="G255" s="68"/>
      <c r="H255" s="59"/>
      <c r="I255" s="68"/>
      <c r="J255" s="59"/>
      <c r="K255" s="68"/>
      <c r="L255" s="68"/>
      <c r="M255" s="59"/>
    </row>
    <row r="256" spans="1:13" ht="12">
      <c r="A256" s="11"/>
      <c r="B256" s="11"/>
      <c r="C256" s="12"/>
      <c r="E256" s="11"/>
      <c r="F256" s="11"/>
      <c r="G256" s="68"/>
      <c r="H256" s="59"/>
      <c r="I256" s="68"/>
      <c r="J256" s="59"/>
      <c r="K256" s="68"/>
      <c r="L256" s="68"/>
      <c r="M256" s="59"/>
    </row>
    <row r="257" spans="3:13" ht="12">
      <c r="C257" s="12"/>
      <c r="E257" s="11"/>
      <c r="F257" s="11"/>
      <c r="G257" s="68"/>
      <c r="H257" s="59"/>
      <c r="I257" s="68"/>
      <c r="J257" s="59"/>
      <c r="K257" s="68"/>
      <c r="L257" s="68"/>
      <c r="M257" s="59"/>
    </row>
    <row r="258" spans="1:13" ht="12">
      <c r="A258" s="11" t="s">
        <v>363</v>
      </c>
      <c r="B258" s="11"/>
      <c r="C258" s="12"/>
      <c r="E258" s="11"/>
      <c r="F258" s="11"/>
      <c r="G258" s="68"/>
      <c r="H258" s="59"/>
      <c r="I258" s="68"/>
      <c r="J258" s="59"/>
      <c r="K258" s="68"/>
      <c r="L258" s="68"/>
      <c r="M258" s="59"/>
    </row>
    <row r="259" spans="5:12" ht="12">
      <c r="E259" s="50"/>
      <c r="F259" s="50"/>
      <c r="G259" s="5"/>
      <c r="H259" s="59"/>
      <c r="I259" s="5"/>
      <c r="J259" s="59"/>
      <c r="K259" s="5"/>
      <c r="L259" s="5"/>
    </row>
    <row r="260" spans="1:13" ht="12">
      <c r="A260" s="16" t="s">
        <v>320</v>
      </c>
      <c r="B260" s="16"/>
      <c r="E260" s="50"/>
      <c r="F260" s="50"/>
      <c r="G260" s="5"/>
      <c r="H260" s="59"/>
      <c r="I260" s="5"/>
      <c r="J260" s="59"/>
      <c r="K260" s="5"/>
      <c r="L260" s="5"/>
      <c r="M260" s="146" t="s">
        <v>60</v>
      </c>
    </row>
    <row r="261" spans="1:13" ht="12">
      <c r="A261" s="268" t="s">
        <v>364</v>
      </c>
      <c r="B261" s="268"/>
      <c r="C261" s="268"/>
      <c r="D261" s="268"/>
      <c r="E261" s="268"/>
      <c r="F261" s="268"/>
      <c r="G261" s="268"/>
      <c r="H261" s="268"/>
      <c r="I261" s="268"/>
      <c r="J261" s="268"/>
      <c r="K261" s="268"/>
      <c r="L261" s="268"/>
      <c r="M261" s="268"/>
    </row>
    <row r="262" spans="1:13" ht="12">
      <c r="A262" s="16" t="s">
        <v>292</v>
      </c>
      <c r="B262" s="16"/>
      <c r="G262" s="5"/>
      <c r="H262" s="59"/>
      <c r="I262" s="92"/>
      <c r="J262" s="210"/>
      <c r="K262" s="5"/>
      <c r="L262" s="5"/>
      <c r="M262" s="207" t="s">
        <v>293</v>
      </c>
    </row>
    <row r="263" spans="1:13" ht="12">
      <c r="A263" s="21" t="s">
        <v>1</v>
      </c>
      <c r="B263" s="21"/>
      <c r="C263" s="21" t="s">
        <v>1</v>
      </c>
      <c r="D263" s="21" t="s">
        <v>1</v>
      </c>
      <c r="E263" s="21" t="s">
        <v>1</v>
      </c>
      <c r="F263" s="21"/>
      <c r="G263" s="21" t="s">
        <v>1</v>
      </c>
      <c r="H263" s="21" t="s">
        <v>1</v>
      </c>
      <c r="I263" s="21" t="s">
        <v>1</v>
      </c>
      <c r="J263" s="21" t="s">
        <v>1</v>
      </c>
      <c r="K263" s="21" t="s">
        <v>1</v>
      </c>
      <c r="L263" s="21"/>
      <c r="M263" s="21" t="s">
        <v>1</v>
      </c>
    </row>
    <row r="264" spans="1:13" ht="12">
      <c r="A264" s="24" t="s">
        <v>2</v>
      </c>
      <c r="B264" s="24"/>
      <c r="E264" s="24" t="s">
        <v>2</v>
      </c>
      <c r="F264" s="24"/>
      <c r="G264" s="130"/>
      <c r="H264" s="130" t="s">
        <v>249</v>
      </c>
      <c r="I264" s="130"/>
      <c r="J264" s="130" t="s">
        <v>251</v>
      </c>
      <c r="K264" s="130"/>
      <c r="L264" s="130"/>
      <c r="M264" s="130" t="s">
        <v>260</v>
      </c>
    </row>
    <row r="265" spans="1:13" ht="12">
      <c r="A265" s="24" t="s">
        <v>4</v>
      </c>
      <c r="B265" s="24"/>
      <c r="C265" s="28" t="s">
        <v>20</v>
      </c>
      <c r="E265" s="24" t="s">
        <v>4</v>
      </c>
      <c r="F265" s="24"/>
      <c r="G265" s="149" t="s">
        <v>21</v>
      </c>
      <c r="H265" s="130" t="s">
        <v>7</v>
      </c>
      <c r="I265" s="149" t="s">
        <v>21</v>
      </c>
      <c r="J265" s="130" t="s">
        <v>7</v>
      </c>
      <c r="L265" s="149" t="s">
        <v>21</v>
      </c>
      <c r="M265" s="130" t="s">
        <v>8</v>
      </c>
    </row>
    <row r="266" spans="1:13" ht="12">
      <c r="A266" s="21" t="s">
        <v>1</v>
      </c>
      <c r="B266" s="21"/>
      <c r="C266" s="21" t="s">
        <v>1</v>
      </c>
      <c r="D266" s="21" t="s">
        <v>1</v>
      </c>
      <c r="E266" s="21" t="s">
        <v>1</v>
      </c>
      <c r="F266" s="21"/>
      <c r="G266" s="21" t="s">
        <v>1</v>
      </c>
      <c r="H266" s="21" t="s">
        <v>1</v>
      </c>
      <c r="I266" s="21" t="s">
        <v>1</v>
      </c>
      <c r="J266" s="21" t="s">
        <v>1</v>
      </c>
      <c r="L266" s="21" t="s">
        <v>1</v>
      </c>
      <c r="M266" s="143" t="s">
        <v>1</v>
      </c>
    </row>
    <row r="267" spans="1:13" ht="1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L267" s="21"/>
      <c r="M267" s="143"/>
    </row>
    <row r="268" spans="1:12" ht="12">
      <c r="A268" s="11">
        <v>26</v>
      </c>
      <c r="B268" s="11"/>
      <c r="C268" s="12" t="s">
        <v>71</v>
      </c>
      <c r="E268" s="11">
        <v>26</v>
      </c>
      <c r="F268" s="11"/>
      <c r="G268" s="212"/>
      <c r="I268" s="212"/>
      <c r="L268" s="212"/>
    </row>
    <row r="269" spans="1:13" ht="12">
      <c r="A269" s="11">
        <v>27</v>
      </c>
      <c r="B269" s="11"/>
      <c r="C269" s="12" t="s">
        <v>355</v>
      </c>
      <c r="D269" s="12" t="s">
        <v>356</v>
      </c>
      <c r="E269" s="11">
        <v>27</v>
      </c>
      <c r="F269" s="11"/>
      <c r="G269" s="68">
        <f aca="true" t="shared" si="18" ref="G269:H272">SUM(G232,G238,G244,G250)</f>
        <v>1760.44</v>
      </c>
      <c r="H269" s="59">
        <f t="shared" si="18"/>
        <v>21392299.95</v>
      </c>
      <c r="I269" s="68">
        <f aca="true" t="shared" si="19" ref="I269:J272">SUM(I232,I238,I244,I250)</f>
        <v>1750.8</v>
      </c>
      <c r="J269" s="59">
        <f t="shared" si="19"/>
        <v>22729795.669999998</v>
      </c>
      <c r="L269" s="68">
        <f aca="true" t="shared" si="20" ref="L269:M272">SUM(L232,L238,L244,L250)</f>
        <v>1714</v>
      </c>
      <c r="M269" s="59">
        <f t="shared" si="20"/>
        <v>23091415</v>
      </c>
    </row>
    <row r="270" spans="1:13" ht="12">
      <c r="A270" s="11">
        <v>28</v>
      </c>
      <c r="B270" s="11"/>
      <c r="D270" s="12" t="s">
        <v>357</v>
      </c>
      <c r="E270" s="11">
        <v>28</v>
      </c>
      <c r="F270" s="11"/>
      <c r="G270" s="68">
        <f t="shared" si="18"/>
        <v>16044.9</v>
      </c>
      <c r="H270" s="59">
        <f t="shared" si="18"/>
        <v>129563353.97999999</v>
      </c>
      <c r="I270" s="68">
        <f t="shared" si="19"/>
        <v>16034.43</v>
      </c>
      <c r="J270" s="59">
        <f t="shared" si="19"/>
        <v>146557791.73000002</v>
      </c>
      <c r="L270" s="68">
        <f t="shared" si="20"/>
        <v>15856</v>
      </c>
      <c r="M270" s="59">
        <f t="shared" si="20"/>
        <v>153275198</v>
      </c>
    </row>
    <row r="271" spans="1:13" ht="12">
      <c r="A271" s="11">
        <v>29</v>
      </c>
      <c r="B271" s="11"/>
      <c r="C271" s="12" t="s">
        <v>358</v>
      </c>
      <c r="D271" s="12" t="s">
        <v>356</v>
      </c>
      <c r="E271" s="11">
        <v>29</v>
      </c>
      <c r="F271" s="11"/>
      <c r="G271" s="68">
        <f t="shared" si="18"/>
        <v>667.56</v>
      </c>
      <c r="H271" s="59">
        <f t="shared" si="18"/>
        <v>21262388.61</v>
      </c>
      <c r="I271" s="68">
        <f t="shared" si="19"/>
        <v>754.5</v>
      </c>
      <c r="J271" s="59">
        <f t="shared" si="19"/>
        <v>24459809</v>
      </c>
      <c r="L271" s="68">
        <f t="shared" si="20"/>
        <v>806</v>
      </c>
      <c r="M271" s="59">
        <f t="shared" si="20"/>
        <v>25833719</v>
      </c>
    </row>
    <row r="272" spans="1:13" ht="12">
      <c r="A272" s="11">
        <v>30</v>
      </c>
      <c r="B272" s="11"/>
      <c r="D272" s="12" t="s">
        <v>357</v>
      </c>
      <c r="E272" s="11">
        <v>30</v>
      </c>
      <c r="F272" s="11"/>
      <c r="G272" s="68">
        <f t="shared" si="18"/>
        <v>7487.4</v>
      </c>
      <c r="H272" s="59">
        <f t="shared" si="18"/>
        <v>175644752.16</v>
      </c>
      <c r="I272" s="68">
        <f t="shared" si="19"/>
        <v>7562.67</v>
      </c>
      <c r="J272" s="59">
        <f t="shared" si="19"/>
        <v>178889428.86</v>
      </c>
      <c r="L272" s="68">
        <f t="shared" si="20"/>
        <v>8204</v>
      </c>
      <c r="M272" s="59">
        <f t="shared" si="20"/>
        <v>197076884</v>
      </c>
    </row>
    <row r="273" spans="1:13" ht="12">
      <c r="A273" s="11">
        <v>31</v>
      </c>
      <c r="B273" s="11"/>
      <c r="E273" s="11">
        <v>31</v>
      </c>
      <c r="F273" s="11"/>
      <c r="G273" s="68"/>
      <c r="H273" s="59"/>
      <c r="I273" s="68"/>
      <c r="J273" s="59"/>
      <c r="L273" s="68"/>
      <c r="M273" s="59"/>
    </row>
    <row r="274" spans="1:13" ht="12">
      <c r="A274" s="11"/>
      <c r="B274" s="11"/>
      <c r="E274" s="11"/>
      <c r="F274" s="11"/>
      <c r="G274" s="68"/>
      <c r="H274" s="59"/>
      <c r="I274" s="68"/>
      <c r="J274" s="59"/>
      <c r="L274" s="68"/>
      <c r="M274" s="59"/>
    </row>
    <row r="275" spans="1:13" ht="12">
      <c r="A275" s="11">
        <v>32</v>
      </c>
      <c r="B275" s="11"/>
      <c r="C275" s="12" t="s">
        <v>72</v>
      </c>
      <c r="E275" s="11">
        <v>32</v>
      </c>
      <c r="F275" s="11"/>
      <c r="G275" s="68">
        <f>SUM(G269,G270)</f>
        <v>17805.34</v>
      </c>
      <c r="H275" s="59">
        <f>SUM(H269,H270)</f>
        <v>150955653.92999998</v>
      </c>
      <c r="I275" s="68">
        <f>SUM(I269,I270)</f>
        <v>17785.23</v>
      </c>
      <c r="J275" s="59">
        <f>SUM(J269,J270)</f>
        <v>169287587.4</v>
      </c>
      <c r="L275" s="68">
        <f>L269+L270</f>
        <v>17570</v>
      </c>
      <c r="M275" s="59">
        <f>M269+M270</f>
        <v>176366613</v>
      </c>
    </row>
    <row r="276" spans="1:13" ht="12">
      <c r="A276" s="11">
        <v>33</v>
      </c>
      <c r="B276" s="11"/>
      <c r="C276" s="12" t="s">
        <v>73</v>
      </c>
      <c r="E276" s="11">
        <v>33</v>
      </c>
      <c r="F276" s="11"/>
      <c r="G276" s="68">
        <f>SUM(G271,G272)</f>
        <v>8154.959999999999</v>
      </c>
      <c r="H276" s="59">
        <f>SUM(H271,H272)</f>
        <v>196907140.76999998</v>
      </c>
      <c r="I276" s="68">
        <f>SUM(I271,I272)</f>
        <v>8317.17</v>
      </c>
      <c r="J276" s="59">
        <f>SUM(J271,J272)</f>
        <v>203349237.86</v>
      </c>
      <c r="L276" s="68">
        <f>L271+L272</f>
        <v>9010</v>
      </c>
      <c r="M276" s="59">
        <f>M271+M272</f>
        <v>222910603</v>
      </c>
    </row>
    <row r="277" spans="1:13" ht="12">
      <c r="A277" s="11">
        <v>34</v>
      </c>
      <c r="B277" s="11"/>
      <c r="C277" s="12" t="s">
        <v>74</v>
      </c>
      <c r="E277" s="11">
        <v>34</v>
      </c>
      <c r="F277" s="11"/>
      <c r="G277" s="68">
        <f aca="true" t="shared" si="21" ref="G277:J278">SUM(G269,G271)</f>
        <v>2428</v>
      </c>
      <c r="H277" s="59">
        <f t="shared" si="21"/>
        <v>42654688.56</v>
      </c>
      <c r="I277" s="68">
        <f t="shared" si="21"/>
        <v>2505.3</v>
      </c>
      <c r="J277" s="59">
        <f t="shared" si="21"/>
        <v>47189604.67</v>
      </c>
      <c r="L277" s="68">
        <f>L269+L271</f>
        <v>2520</v>
      </c>
      <c r="M277" s="59">
        <f>M269+M271</f>
        <v>48925134</v>
      </c>
    </row>
    <row r="278" spans="1:13" ht="12">
      <c r="A278" s="11">
        <v>35</v>
      </c>
      <c r="B278" s="11"/>
      <c r="C278" s="12" t="s">
        <v>218</v>
      </c>
      <c r="E278" s="11">
        <v>35</v>
      </c>
      <c r="F278" s="11"/>
      <c r="G278" s="68">
        <f t="shared" si="21"/>
        <v>23532.3</v>
      </c>
      <c r="H278" s="59">
        <f t="shared" si="21"/>
        <v>305208106.14</v>
      </c>
      <c r="I278" s="68">
        <f t="shared" si="21"/>
        <v>23597.1</v>
      </c>
      <c r="J278" s="59">
        <f t="shared" si="21"/>
        <v>325447220.59000003</v>
      </c>
      <c r="L278" s="68">
        <f>L270+L272</f>
        <v>24060</v>
      </c>
      <c r="M278" s="59">
        <f>M270+M272</f>
        <v>350352082</v>
      </c>
    </row>
    <row r="279" spans="7:13" ht="12">
      <c r="G279" s="90" t="s">
        <v>1</v>
      </c>
      <c r="H279" s="143" t="s">
        <v>1</v>
      </c>
      <c r="I279" s="90" t="s">
        <v>1</v>
      </c>
      <c r="J279" s="143" t="s">
        <v>1</v>
      </c>
      <c r="L279" s="90" t="s">
        <v>1</v>
      </c>
      <c r="M279" s="143" t="s">
        <v>1</v>
      </c>
    </row>
    <row r="280" spans="1:13" ht="12">
      <c r="A280" s="11">
        <v>36</v>
      </c>
      <c r="B280" s="11"/>
      <c r="C280" s="7" t="s">
        <v>365</v>
      </c>
      <c r="E280" s="11">
        <v>36</v>
      </c>
      <c r="F280" s="11"/>
      <c r="G280" s="68">
        <f>SUM(G277:G278)</f>
        <v>25960.3</v>
      </c>
      <c r="H280" s="59">
        <f>SUM(H277:H278)</f>
        <v>347862794.7</v>
      </c>
      <c r="I280" s="68">
        <f>SUM(I277:I278)</f>
        <v>26102.399999999998</v>
      </c>
      <c r="J280" s="59">
        <f>SUM(J277:J278)</f>
        <v>372636825.26000005</v>
      </c>
      <c r="L280" s="68">
        <f>SUM(L269:L272)</f>
        <v>26580</v>
      </c>
      <c r="M280" s="59">
        <f>SUM(M269:M272)</f>
        <v>399277216</v>
      </c>
    </row>
    <row r="281" spans="3:13" ht="12">
      <c r="C281" s="12" t="s">
        <v>366</v>
      </c>
      <c r="G281" s="90" t="s">
        <v>1</v>
      </c>
      <c r="H281" s="90" t="s">
        <v>1</v>
      </c>
      <c r="I281" s="90" t="s">
        <v>1</v>
      </c>
      <c r="J281" s="90" t="s">
        <v>1</v>
      </c>
      <c r="L281" s="90" t="s">
        <v>1</v>
      </c>
      <c r="M281" s="90" t="s">
        <v>1</v>
      </c>
    </row>
    <row r="282" spans="3:13" ht="12">
      <c r="C282" s="12"/>
      <c r="G282" s="90"/>
      <c r="H282" s="90"/>
      <c r="I282" s="90"/>
      <c r="J282" s="90"/>
      <c r="K282" s="90"/>
      <c r="L282" s="90"/>
      <c r="M282" s="90"/>
    </row>
    <row r="283" spans="3:13" ht="12">
      <c r="C283" s="12"/>
      <c r="G283" s="90"/>
      <c r="H283" s="90"/>
      <c r="I283" s="90"/>
      <c r="J283" s="90"/>
      <c r="K283" s="90"/>
      <c r="L283" s="90"/>
      <c r="M283" s="90"/>
    </row>
    <row r="284" spans="3:13" ht="12">
      <c r="C284" s="12"/>
      <c r="G284" s="90"/>
      <c r="H284" s="90"/>
      <c r="I284" s="90"/>
      <c r="J284" s="90"/>
      <c r="K284" s="90"/>
      <c r="L284" s="90"/>
      <c r="M284" s="90"/>
    </row>
    <row r="285" spans="3:13" ht="12">
      <c r="C285" s="12"/>
      <c r="G285" s="90"/>
      <c r="H285" s="90"/>
      <c r="I285" s="90"/>
      <c r="J285" s="90"/>
      <c r="K285" s="90"/>
      <c r="L285" s="90"/>
      <c r="M285" s="90"/>
    </row>
    <row r="286" spans="3:13" ht="12">
      <c r="C286" s="7" t="s">
        <v>367</v>
      </c>
      <c r="G286" s="90"/>
      <c r="H286" s="59">
        <f>39999825+1263222</f>
        <v>41263047</v>
      </c>
      <c r="I286" s="90"/>
      <c r="J286" s="59">
        <f>46510597.17+1427995.94</f>
        <v>47938593.11</v>
      </c>
      <c r="K286" s="90"/>
      <c r="L286" s="90"/>
      <c r="M286" s="59">
        <f>49909652+1478268</f>
        <v>51387920</v>
      </c>
    </row>
    <row r="287" spans="1:12" ht="12">
      <c r="A287" s="16"/>
      <c r="B287" s="16"/>
      <c r="E287" s="50"/>
      <c r="F287" s="50"/>
      <c r="G287" s="5"/>
      <c r="H287" s="59"/>
      <c r="I287" s="5"/>
      <c r="J287" s="59"/>
      <c r="K287" s="5"/>
      <c r="L287" s="5"/>
    </row>
    <row r="288" spans="1:13" ht="12">
      <c r="A288" s="16" t="s">
        <v>320</v>
      </c>
      <c r="B288" s="16"/>
      <c r="E288" s="50"/>
      <c r="F288" s="50"/>
      <c r="G288" s="5"/>
      <c r="H288" s="59"/>
      <c r="I288" s="5"/>
      <c r="J288" s="59"/>
      <c r="K288" s="5"/>
      <c r="L288" s="5"/>
      <c r="M288" s="146" t="s">
        <v>76</v>
      </c>
    </row>
    <row r="289" spans="1:13" ht="12">
      <c r="A289" s="267" t="s">
        <v>368</v>
      </c>
      <c r="B289" s="267"/>
      <c r="C289" s="267"/>
      <c r="D289" s="267"/>
      <c r="E289" s="267"/>
      <c r="F289" s="267"/>
      <c r="G289" s="267"/>
      <c r="H289" s="267"/>
      <c r="I289" s="267"/>
      <c r="J289" s="267"/>
      <c r="K289" s="267"/>
      <c r="L289" s="267"/>
      <c r="M289" s="267"/>
    </row>
    <row r="290" spans="1:13" ht="12">
      <c r="A290" s="16" t="s">
        <v>292</v>
      </c>
      <c r="B290" s="16"/>
      <c r="G290" s="34"/>
      <c r="H290" s="92"/>
      <c r="I290" s="92"/>
      <c r="J290" s="210"/>
      <c r="K290" s="5"/>
      <c r="L290" s="5"/>
      <c r="M290" s="207" t="s">
        <v>293</v>
      </c>
    </row>
    <row r="291" spans="1:13" ht="12">
      <c r="A291" s="21" t="s">
        <v>1</v>
      </c>
      <c r="B291" s="21"/>
      <c r="C291" s="21" t="s">
        <v>1</v>
      </c>
      <c r="D291" s="21" t="s">
        <v>1</v>
      </c>
      <c r="E291" s="21" t="s">
        <v>1</v>
      </c>
      <c r="F291" s="21"/>
      <c r="G291" s="21" t="s">
        <v>1</v>
      </c>
      <c r="H291" s="21" t="s">
        <v>1</v>
      </c>
      <c r="I291" s="21" t="s">
        <v>1</v>
      </c>
      <c r="J291" s="21" t="s">
        <v>1</v>
      </c>
      <c r="K291" s="21" t="s">
        <v>1</v>
      </c>
      <c r="L291" s="21"/>
      <c r="M291" s="21" t="s">
        <v>1</v>
      </c>
    </row>
    <row r="292" spans="1:13" ht="12">
      <c r="A292" s="24" t="s">
        <v>2</v>
      </c>
      <c r="B292" s="24"/>
      <c r="E292" s="24" t="s">
        <v>2</v>
      </c>
      <c r="F292" s="24"/>
      <c r="G292" s="59"/>
      <c r="H292" s="130" t="s">
        <v>249</v>
      </c>
      <c r="I292" s="68"/>
      <c r="J292" s="130" t="s">
        <v>251</v>
      </c>
      <c r="K292" s="68"/>
      <c r="L292" s="68"/>
      <c r="M292" s="130" t="s">
        <v>260</v>
      </c>
    </row>
    <row r="293" spans="1:13" ht="12">
      <c r="A293" s="24" t="s">
        <v>4</v>
      </c>
      <c r="B293" s="24"/>
      <c r="C293" s="28" t="s">
        <v>20</v>
      </c>
      <c r="E293" s="24" t="s">
        <v>4</v>
      </c>
      <c r="F293" s="24"/>
      <c r="G293" s="5"/>
      <c r="H293" s="130" t="s">
        <v>7</v>
      </c>
      <c r="I293" s="5"/>
      <c r="J293" s="130" t="s">
        <v>7</v>
      </c>
      <c r="K293" s="5"/>
      <c r="L293" s="5"/>
      <c r="M293" s="130" t="s">
        <v>8</v>
      </c>
    </row>
    <row r="294" spans="1:13" ht="12">
      <c r="A294" s="21" t="s">
        <v>1</v>
      </c>
      <c r="B294" s="21"/>
      <c r="C294" s="21" t="s">
        <v>1</v>
      </c>
      <c r="D294" s="21" t="s">
        <v>1</v>
      </c>
      <c r="E294" s="21" t="s">
        <v>1</v>
      </c>
      <c r="F294" s="21"/>
      <c r="G294" s="21" t="s">
        <v>1</v>
      </c>
      <c r="H294" s="21" t="s">
        <v>1</v>
      </c>
      <c r="I294" s="21" t="s">
        <v>1</v>
      </c>
      <c r="J294" s="21" t="s">
        <v>1</v>
      </c>
      <c r="K294" s="21" t="s">
        <v>1</v>
      </c>
      <c r="L294" s="21"/>
      <c r="M294" s="143" t="s">
        <v>1</v>
      </c>
    </row>
    <row r="295" spans="1:13" ht="12">
      <c r="A295" s="93">
        <v>1</v>
      </c>
      <c r="B295" s="93"/>
      <c r="C295" s="12" t="s">
        <v>369</v>
      </c>
      <c r="E295" s="93">
        <v>1</v>
      </c>
      <c r="F295" s="93"/>
      <c r="G295" s="68"/>
      <c r="H295" s="59"/>
      <c r="I295" s="68"/>
      <c r="J295" s="59"/>
      <c r="K295" s="68"/>
      <c r="L295" s="68"/>
      <c r="M295" s="59"/>
    </row>
    <row r="296" spans="1:13" ht="12">
      <c r="A296" s="93"/>
      <c r="B296" s="93"/>
      <c r="C296" s="12"/>
      <c r="E296" s="93"/>
      <c r="F296" s="93"/>
      <c r="G296" s="68"/>
      <c r="H296" s="59"/>
      <c r="I296" s="68"/>
      <c r="J296" s="59"/>
      <c r="K296" s="68"/>
      <c r="L296" s="68"/>
      <c r="M296" s="59"/>
    </row>
    <row r="297" spans="1:13" ht="12">
      <c r="A297" s="93">
        <f>(A295+1)</f>
        <v>2</v>
      </c>
      <c r="B297" s="93"/>
      <c r="C297" s="12" t="s">
        <v>370</v>
      </c>
      <c r="E297" s="93">
        <f>(E295+1)</f>
        <v>2</v>
      </c>
      <c r="F297" s="93"/>
      <c r="G297" s="68"/>
      <c r="H297" s="88">
        <f>6332140.69-61547.18</f>
        <v>6270593.510000001</v>
      </c>
      <c r="I297" s="151"/>
      <c r="J297" s="88">
        <f>6700817.57-85527.39</f>
        <v>6615290.180000001</v>
      </c>
      <c r="K297" s="151"/>
      <c r="L297" s="151"/>
      <c r="M297" s="88">
        <f>7753564</f>
        <v>7753564</v>
      </c>
    </row>
    <row r="298" spans="1:13" ht="12">
      <c r="A298" s="93">
        <f aca="true" t="shared" si="22" ref="A298:A303">(A297+1)</f>
        <v>3</v>
      </c>
      <c r="B298" s="93"/>
      <c r="C298" s="12"/>
      <c r="E298" s="93">
        <f aca="true" t="shared" si="23" ref="E298:E303">(E297+1)</f>
        <v>3</v>
      </c>
      <c r="F298" s="93"/>
      <c r="G298" s="68"/>
      <c r="H298" s="88"/>
      <c r="I298" s="151"/>
      <c r="J298" s="88"/>
      <c r="K298" s="151"/>
      <c r="L298" s="151"/>
      <c r="M298" s="88"/>
    </row>
    <row r="299" spans="1:13" ht="12">
      <c r="A299" s="93">
        <f t="shared" si="22"/>
        <v>4</v>
      </c>
      <c r="B299" s="93"/>
      <c r="E299" s="93">
        <f t="shared" si="23"/>
        <v>4</v>
      </c>
      <c r="F299" s="93"/>
      <c r="G299" s="68"/>
      <c r="K299" s="151"/>
      <c r="L299" s="151"/>
      <c r="M299" s="88"/>
    </row>
    <row r="300" spans="1:13" ht="12">
      <c r="A300" s="93">
        <f t="shared" si="22"/>
        <v>5</v>
      </c>
      <c r="B300" s="93"/>
      <c r="E300" s="93">
        <f t="shared" si="23"/>
        <v>5</v>
      </c>
      <c r="F300" s="93"/>
      <c r="G300" s="68"/>
      <c r="H300" s="88"/>
      <c r="I300" s="151"/>
      <c r="J300" s="88"/>
      <c r="K300" s="151"/>
      <c r="L300" s="151"/>
      <c r="M300" s="88"/>
    </row>
    <row r="301" spans="1:13" ht="12">
      <c r="A301" s="93">
        <f t="shared" si="22"/>
        <v>6</v>
      </c>
      <c r="B301" s="93"/>
      <c r="E301" s="93">
        <f t="shared" si="23"/>
        <v>6</v>
      </c>
      <c r="F301" s="93"/>
      <c r="G301" s="68"/>
      <c r="H301" s="88"/>
      <c r="I301" s="151"/>
      <c r="J301" s="88"/>
      <c r="K301" s="151"/>
      <c r="L301" s="151"/>
      <c r="M301" s="88"/>
    </row>
    <row r="302" spans="1:13" ht="12">
      <c r="A302" s="93">
        <f t="shared" si="22"/>
        <v>7</v>
      </c>
      <c r="B302" s="93"/>
      <c r="E302" s="93">
        <f t="shared" si="23"/>
        <v>7</v>
      </c>
      <c r="F302" s="93"/>
      <c r="G302" s="68"/>
      <c r="J302" s="189"/>
      <c r="K302" s="151"/>
      <c r="L302" s="151"/>
      <c r="M302" s="88"/>
    </row>
    <row r="303" spans="1:13" ht="12">
      <c r="A303" s="93">
        <f t="shared" si="22"/>
        <v>8</v>
      </c>
      <c r="B303" s="93"/>
      <c r="E303" s="93">
        <f t="shared" si="23"/>
        <v>8</v>
      </c>
      <c r="F303" s="93"/>
      <c r="G303" s="68"/>
      <c r="I303" s="151"/>
      <c r="J303" s="88"/>
      <c r="K303" s="151"/>
      <c r="L303" s="151"/>
      <c r="M303" s="88"/>
    </row>
    <row r="304" spans="1:13" ht="12">
      <c r="A304" s="93"/>
      <c r="B304" s="93"/>
      <c r="E304" s="93"/>
      <c r="F304" s="93"/>
      <c r="G304" s="90" t="s">
        <v>1</v>
      </c>
      <c r="H304" s="90" t="s">
        <v>1</v>
      </c>
      <c r="I304" s="90" t="s">
        <v>1</v>
      </c>
      <c r="J304" s="90" t="s">
        <v>1</v>
      </c>
      <c r="K304" s="90" t="s">
        <v>1</v>
      </c>
      <c r="L304" s="90"/>
      <c r="M304" s="90" t="s">
        <v>1</v>
      </c>
    </row>
    <row r="305" spans="1:13" ht="12">
      <c r="A305" s="93">
        <v>9</v>
      </c>
      <c r="B305" s="93"/>
      <c r="C305" s="7" t="s">
        <v>371</v>
      </c>
      <c r="E305" s="93">
        <v>9</v>
      </c>
      <c r="F305" s="93"/>
      <c r="G305" s="68"/>
      <c r="H305" s="88">
        <f>SUM(H297:H304)</f>
        <v>6270593.510000001</v>
      </c>
      <c r="I305" s="151"/>
      <c r="J305" s="88">
        <f>SUM(J297:J304)</f>
        <v>6615290.180000001</v>
      </c>
      <c r="K305" s="151"/>
      <c r="L305" s="151"/>
      <c r="M305" s="88">
        <f>SUM(M297:M304)</f>
        <v>7753564</v>
      </c>
    </row>
    <row r="306" spans="1:13" ht="12">
      <c r="A306" s="93"/>
      <c r="B306" s="93"/>
      <c r="E306" s="93"/>
      <c r="F306" s="93"/>
      <c r="G306" s="90" t="s">
        <v>1</v>
      </c>
      <c r="H306" s="90" t="s">
        <v>1</v>
      </c>
      <c r="I306" s="90" t="s">
        <v>1</v>
      </c>
      <c r="J306" s="90" t="s">
        <v>1</v>
      </c>
      <c r="K306" s="90" t="s">
        <v>1</v>
      </c>
      <c r="L306" s="90"/>
      <c r="M306" s="90" t="s">
        <v>1</v>
      </c>
    </row>
    <row r="307" spans="1:13" ht="12">
      <c r="A307" s="93">
        <v>10</v>
      </c>
      <c r="B307" s="93"/>
      <c r="C307" s="94"/>
      <c r="E307" s="93">
        <v>10</v>
      </c>
      <c r="F307" s="93"/>
      <c r="G307" s="68"/>
      <c r="H307" s="88"/>
      <c r="I307" s="151"/>
      <c r="J307" s="88"/>
      <c r="K307" s="151"/>
      <c r="L307" s="151"/>
      <c r="M307" s="88"/>
    </row>
    <row r="308" spans="1:13" ht="12">
      <c r="A308" s="93">
        <v>11</v>
      </c>
      <c r="B308" s="93"/>
      <c r="C308" s="94"/>
      <c r="E308" s="93">
        <v>11</v>
      </c>
      <c r="F308" s="93"/>
      <c r="G308" s="68"/>
      <c r="H308" s="59"/>
      <c r="I308" s="68"/>
      <c r="J308" s="59"/>
      <c r="K308" s="68"/>
      <c r="L308" s="68"/>
      <c r="M308" s="59"/>
    </row>
    <row r="309" spans="1:13" ht="12">
      <c r="A309" s="93">
        <v>12</v>
      </c>
      <c r="B309" s="93"/>
      <c r="C309" s="94" t="s">
        <v>372</v>
      </c>
      <c r="D309" s="150"/>
      <c r="E309" s="93">
        <v>12</v>
      </c>
      <c r="F309" s="93"/>
      <c r="G309" s="68"/>
      <c r="I309" s="68"/>
      <c r="J309" s="59"/>
      <c r="K309" s="68"/>
      <c r="L309" s="68"/>
      <c r="M309" s="59"/>
    </row>
    <row r="310" spans="1:13" ht="12">
      <c r="A310" s="93">
        <v>13</v>
      </c>
      <c r="B310" s="93"/>
      <c r="E310" s="93">
        <v>13</v>
      </c>
      <c r="F310" s="93"/>
      <c r="G310" s="68"/>
      <c r="H310" s="59"/>
      <c r="I310" s="68"/>
      <c r="J310" s="59"/>
      <c r="K310" s="68"/>
      <c r="L310" s="68"/>
      <c r="M310" s="59"/>
    </row>
    <row r="311" spans="7:13" ht="12">
      <c r="G311" s="90" t="s">
        <v>1</v>
      </c>
      <c r="H311" s="90" t="s">
        <v>1</v>
      </c>
      <c r="I311" s="90" t="s">
        <v>1</v>
      </c>
      <c r="J311" s="90" t="s">
        <v>1</v>
      </c>
      <c r="K311" s="90" t="s">
        <v>1</v>
      </c>
      <c r="L311" s="90"/>
      <c r="M311" s="90" t="s">
        <v>1</v>
      </c>
    </row>
    <row r="312" spans="1:13" ht="12">
      <c r="A312" s="93">
        <v>14</v>
      </c>
      <c r="B312" s="93"/>
      <c r="C312" s="7" t="s">
        <v>373</v>
      </c>
      <c r="E312" s="93">
        <v>14</v>
      </c>
      <c r="F312" s="93"/>
      <c r="G312" s="68"/>
      <c r="H312" s="59">
        <f>SUM(H307:H310)</f>
        <v>0</v>
      </c>
      <c r="I312" s="68"/>
      <c r="J312" s="59">
        <f>SUM(J307:J310)</f>
        <v>0</v>
      </c>
      <c r="K312" s="68"/>
      <c r="L312" s="68"/>
      <c r="M312" s="59">
        <f>SUM(M307:M310)</f>
        <v>0</v>
      </c>
    </row>
    <row r="313" spans="1:13" ht="12">
      <c r="A313" s="93"/>
      <c r="B313" s="93"/>
      <c r="E313" s="93"/>
      <c r="F313" s="93"/>
      <c r="G313" s="90" t="s">
        <v>1</v>
      </c>
      <c r="H313" s="90" t="s">
        <v>1</v>
      </c>
      <c r="I313" s="90" t="s">
        <v>1</v>
      </c>
      <c r="J313" s="90" t="s">
        <v>1</v>
      </c>
      <c r="K313" s="90" t="s">
        <v>1</v>
      </c>
      <c r="L313" s="90"/>
      <c r="M313" s="90" t="s">
        <v>1</v>
      </c>
    </row>
    <row r="314" spans="1:13" ht="12">
      <c r="A314" s="93">
        <v>15</v>
      </c>
      <c r="B314" s="93"/>
      <c r="C314" s="94" t="s">
        <v>374</v>
      </c>
      <c r="D314" s="95"/>
      <c r="E314" s="93">
        <v>15</v>
      </c>
      <c r="F314" s="93"/>
      <c r="G314" s="68"/>
      <c r="H314" s="59">
        <f>SUM(H305,H312)</f>
        <v>6270593.510000001</v>
      </c>
      <c r="I314" s="68"/>
      <c r="J314" s="59">
        <f>SUM(J305,J312)</f>
        <v>6615290.180000001</v>
      </c>
      <c r="K314" s="68"/>
      <c r="L314" s="68"/>
      <c r="M314" s="59">
        <f>SUM(M305,M312)</f>
        <v>7753564</v>
      </c>
    </row>
    <row r="315" spans="1:13" ht="12">
      <c r="A315" s="93"/>
      <c r="B315" s="93"/>
      <c r="C315" s="94"/>
      <c r="D315" s="95"/>
      <c r="E315" s="93"/>
      <c r="F315" s="93"/>
      <c r="G315" s="68"/>
      <c r="H315" s="59"/>
      <c r="I315" s="68"/>
      <c r="J315" s="59"/>
      <c r="K315" s="68"/>
      <c r="L315" s="68"/>
      <c r="M315" s="59"/>
    </row>
    <row r="316" spans="1:13" ht="12">
      <c r="A316" s="93"/>
      <c r="B316" s="93"/>
      <c r="E316" s="93"/>
      <c r="F316" s="93"/>
      <c r="G316" s="68"/>
      <c r="H316" s="59"/>
      <c r="I316" s="68"/>
      <c r="J316" s="59"/>
      <c r="K316" s="68"/>
      <c r="L316" s="68"/>
      <c r="M316" s="59"/>
    </row>
    <row r="317" spans="1:13" ht="12">
      <c r="A317" s="93">
        <v>16</v>
      </c>
      <c r="B317" s="93"/>
      <c r="C317" s="94" t="s">
        <v>375</v>
      </c>
      <c r="E317" s="93">
        <v>16</v>
      </c>
      <c r="F317" s="93"/>
      <c r="G317" s="68"/>
      <c r="H317" s="88">
        <f>-4312719-1567331+311984</f>
        <v>-5568066</v>
      </c>
      <c r="I317" s="151"/>
      <c r="J317" s="88">
        <f>-4617815-831241</f>
        <v>-5449056</v>
      </c>
      <c r="K317" s="88"/>
      <c r="L317" s="88"/>
      <c r="M317" s="88">
        <v>0</v>
      </c>
    </row>
    <row r="318" spans="1:13" ht="12">
      <c r="A318" s="93">
        <v>17</v>
      </c>
      <c r="B318" s="93"/>
      <c r="C318" s="12" t="s">
        <v>0</v>
      </c>
      <c r="E318" s="93">
        <v>17</v>
      </c>
      <c r="F318" s="93"/>
      <c r="H318" s="88"/>
      <c r="I318" s="13"/>
      <c r="J318" s="88"/>
      <c r="K318" s="88"/>
      <c r="L318" s="88"/>
      <c r="M318" s="88"/>
    </row>
    <row r="319" spans="1:6" ht="12">
      <c r="A319" s="93">
        <v>18</v>
      </c>
      <c r="B319" s="93"/>
      <c r="E319" s="93">
        <v>18</v>
      </c>
      <c r="F319" s="93"/>
    </row>
    <row r="320" spans="1:6" ht="12">
      <c r="A320" s="93">
        <v>19</v>
      </c>
      <c r="B320" s="93"/>
      <c r="E320" s="93">
        <v>19</v>
      </c>
      <c r="F320" s="93"/>
    </row>
    <row r="321" spans="1:13" ht="12">
      <c r="A321" s="93"/>
      <c r="B321" s="93"/>
      <c r="C321" s="94"/>
      <c r="E321" s="93"/>
      <c r="F321" s="93"/>
      <c r="G321" s="90" t="s">
        <v>1</v>
      </c>
      <c r="H321" s="90" t="s">
        <v>1</v>
      </c>
      <c r="I321" s="90" t="s">
        <v>1</v>
      </c>
      <c r="J321" s="90" t="s">
        <v>1</v>
      </c>
      <c r="K321" s="90" t="s">
        <v>1</v>
      </c>
      <c r="L321" s="90"/>
      <c r="M321" s="90" t="s">
        <v>1</v>
      </c>
    </row>
    <row r="322" spans="1:13" ht="12">
      <c r="A322" s="93">
        <v>20</v>
      </c>
      <c r="B322" s="93"/>
      <c r="C322" s="94" t="s">
        <v>376</v>
      </c>
      <c r="E322" s="93">
        <v>20</v>
      </c>
      <c r="F322" s="93"/>
      <c r="G322" s="68"/>
      <c r="H322" s="59">
        <f>SUM(H314+H317)</f>
        <v>702527.5100000007</v>
      </c>
      <c r="I322" s="68"/>
      <c r="J322" s="59">
        <f>SUM(J314+J317)</f>
        <v>1166234.1800000006</v>
      </c>
      <c r="K322" s="68"/>
      <c r="L322" s="68"/>
      <c r="M322" s="59">
        <f>SUM(M314+M317)</f>
        <v>7753564</v>
      </c>
    </row>
    <row r="323" spans="1:13" ht="12">
      <c r="A323" s="96"/>
      <c r="B323" s="96"/>
      <c r="C323" s="12"/>
      <c r="E323" s="50"/>
      <c r="F323" s="50"/>
      <c r="G323" s="90" t="s">
        <v>1</v>
      </c>
      <c r="H323" s="90" t="s">
        <v>1</v>
      </c>
      <c r="I323" s="90" t="s">
        <v>1</v>
      </c>
      <c r="J323" s="90" t="s">
        <v>1</v>
      </c>
      <c r="K323" s="90" t="s">
        <v>1</v>
      </c>
      <c r="L323" s="90"/>
      <c r="M323" s="90" t="s">
        <v>1</v>
      </c>
    </row>
    <row r="324" spans="7:13" ht="12">
      <c r="G324" s="90"/>
      <c r="H324" s="90"/>
      <c r="I324" s="90"/>
      <c r="J324" s="59"/>
      <c r="K324" s="90"/>
      <c r="L324" s="90"/>
      <c r="M324" s="59"/>
    </row>
    <row r="325" spans="1:2" ht="12">
      <c r="A325" s="12"/>
      <c r="B325" s="12"/>
    </row>
    <row r="326" spans="1:13" ht="12">
      <c r="A326" s="16" t="s">
        <v>320</v>
      </c>
      <c r="B326" s="16"/>
      <c r="E326" s="50"/>
      <c r="F326" s="50"/>
      <c r="G326" s="5"/>
      <c r="H326" s="59"/>
      <c r="I326" s="5"/>
      <c r="J326" s="59"/>
      <c r="K326" s="5"/>
      <c r="L326" s="5"/>
      <c r="M326" s="146" t="s">
        <v>78</v>
      </c>
    </row>
    <row r="327" spans="1:13" ht="12">
      <c r="A327" s="267" t="s">
        <v>377</v>
      </c>
      <c r="B327" s="267"/>
      <c r="C327" s="267"/>
      <c r="D327" s="267"/>
      <c r="E327" s="267"/>
      <c r="F327" s="267"/>
      <c r="G327" s="267"/>
      <c r="H327" s="267"/>
      <c r="I327" s="267"/>
      <c r="J327" s="267"/>
      <c r="K327" s="267"/>
      <c r="L327" s="267"/>
      <c r="M327" s="267"/>
    </row>
    <row r="328" spans="1:13" ht="12">
      <c r="A328" s="16" t="s">
        <v>292</v>
      </c>
      <c r="B328" s="16"/>
      <c r="G328" s="34"/>
      <c r="H328" s="92"/>
      <c r="I328" s="92"/>
      <c r="J328" s="59"/>
      <c r="K328" s="5"/>
      <c r="L328" s="5"/>
      <c r="M328" s="207" t="s">
        <v>293</v>
      </c>
    </row>
    <row r="329" spans="1:13" ht="12">
      <c r="A329" s="21" t="s">
        <v>1</v>
      </c>
      <c r="B329" s="21"/>
      <c r="C329" s="21" t="s">
        <v>1</v>
      </c>
      <c r="D329" s="21" t="s">
        <v>1</v>
      </c>
      <c r="E329" s="21" t="s">
        <v>1</v>
      </c>
      <c r="F329" s="21"/>
      <c r="G329" s="21" t="s">
        <v>1</v>
      </c>
      <c r="H329" s="21" t="s">
        <v>1</v>
      </c>
      <c r="I329" s="21" t="s">
        <v>1</v>
      </c>
      <c r="J329" s="21" t="s">
        <v>1</v>
      </c>
      <c r="K329" s="21" t="s">
        <v>1</v>
      </c>
      <c r="L329" s="21"/>
      <c r="M329" s="21" t="s">
        <v>1</v>
      </c>
    </row>
    <row r="330" spans="1:13" ht="12">
      <c r="A330" s="24" t="s">
        <v>2</v>
      </c>
      <c r="B330" s="24"/>
      <c r="E330" s="24" t="s">
        <v>2</v>
      </c>
      <c r="F330" s="24"/>
      <c r="G330" s="59"/>
      <c r="H330" s="130" t="s">
        <v>249</v>
      </c>
      <c r="I330" s="68"/>
      <c r="J330" s="130" t="s">
        <v>251</v>
      </c>
      <c r="K330" s="68"/>
      <c r="L330" s="68"/>
      <c r="M330" s="130" t="s">
        <v>260</v>
      </c>
    </row>
    <row r="331" spans="1:13" ht="12">
      <c r="A331" s="24" t="s">
        <v>4</v>
      </c>
      <c r="B331" s="24"/>
      <c r="C331" s="28" t="s">
        <v>20</v>
      </c>
      <c r="E331" s="24" t="s">
        <v>4</v>
      </c>
      <c r="F331" s="24"/>
      <c r="G331" s="5"/>
      <c r="H331" s="130" t="s">
        <v>7</v>
      </c>
      <c r="I331" s="5"/>
      <c r="J331" s="130" t="s">
        <v>7</v>
      </c>
      <c r="K331" s="5"/>
      <c r="L331" s="5"/>
      <c r="M331" s="130" t="s">
        <v>8</v>
      </c>
    </row>
    <row r="332" spans="1:13" ht="12">
      <c r="A332" s="21" t="s">
        <v>1</v>
      </c>
      <c r="B332" s="21"/>
      <c r="C332" s="21" t="s">
        <v>1</v>
      </c>
      <c r="D332" s="21" t="s">
        <v>1</v>
      </c>
      <c r="E332" s="21" t="s">
        <v>1</v>
      </c>
      <c r="F332" s="21"/>
      <c r="G332" s="21" t="s">
        <v>1</v>
      </c>
      <c r="H332" s="21" t="s">
        <v>1</v>
      </c>
      <c r="I332" s="21" t="s">
        <v>1</v>
      </c>
      <c r="J332" s="21" t="s">
        <v>1</v>
      </c>
      <c r="K332" s="21" t="s">
        <v>1</v>
      </c>
      <c r="L332" s="21"/>
      <c r="M332" s="143" t="s">
        <v>1</v>
      </c>
    </row>
    <row r="333" spans="1:13" ht="12">
      <c r="A333" s="93">
        <v>1</v>
      </c>
      <c r="B333" s="93"/>
      <c r="C333" s="12" t="s">
        <v>378</v>
      </c>
      <c r="E333" s="93">
        <v>1</v>
      </c>
      <c r="F333" s="93"/>
      <c r="G333" s="68"/>
      <c r="H333" s="59"/>
      <c r="I333" s="68"/>
      <c r="J333" s="59"/>
      <c r="K333" s="68"/>
      <c r="L333" s="68"/>
      <c r="M333" s="59"/>
    </row>
    <row r="334" spans="1:13" ht="12">
      <c r="A334" s="93"/>
      <c r="B334" s="93"/>
      <c r="C334" s="12"/>
      <c r="E334" s="93"/>
      <c r="F334" s="93"/>
      <c r="G334" s="68"/>
      <c r="H334" s="59"/>
      <c r="I334" s="68"/>
      <c r="J334" s="59"/>
      <c r="K334" s="68"/>
      <c r="L334" s="68"/>
      <c r="M334" s="59"/>
    </row>
    <row r="335" spans="1:13" ht="12">
      <c r="A335" s="93">
        <f>(A333+1)</f>
        <v>2</v>
      </c>
      <c r="B335" s="93"/>
      <c r="C335" s="13" t="s">
        <v>379</v>
      </c>
      <c r="E335" s="93">
        <f>(E333+1)</f>
        <v>2</v>
      </c>
      <c r="F335" s="93"/>
      <c r="G335" s="68"/>
      <c r="H335" s="88">
        <f>43713138.94</f>
        <v>43713138.94</v>
      </c>
      <c r="I335" s="151"/>
      <c r="J335" s="88">
        <f>45874646.71</f>
        <v>45874646.71</v>
      </c>
      <c r="K335" s="151"/>
      <c r="L335" s="151"/>
      <c r="M335" s="88">
        <f>43187137</f>
        <v>43187137</v>
      </c>
    </row>
    <row r="336" spans="1:13" ht="12">
      <c r="A336" s="93">
        <f aca="true" t="shared" si="24" ref="A336:A341">(A335+1)</f>
        <v>3</v>
      </c>
      <c r="B336" s="93"/>
      <c r="C336" s="13" t="s">
        <v>380</v>
      </c>
      <c r="E336" s="93">
        <f aca="true" t="shared" si="25" ref="E336:E341">(E335+1)</f>
        <v>3</v>
      </c>
      <c r="F336" s="93"/>
      <c r="G336" s="68"/>
      <c r="H336" s="189">
        <f>777137.6</f>
        <v>777137.6</v>
      </c>
      <c r="I336" s="151"/>
      <c r="J336" s="88">
        <f>635362.13</f>
        <v>635362.13</v>
      </c>
      <c r="K336" s="151"/>
      <c r="L336" s="151"/>
      <c r="M336" s="88">
        <f>285531</f>
        <v>285531</v>
      </c>
    </row>
    <row r="337" spans="1:13" ht="12">
      <c r="A337" s="93">
        <f t="shared" si="24"/>
        <v>4</v>
      </c>
      <c r="B337" s="93"/>
      <c r="C337" s="13" t="s">
        <v>381</v>
      </c>
      <c r="E337" s="93">
        <f t="shared" si="25"/>
        <v>4</v>
      </c>
      <c r="F337" s="93"/>
      <c r="G337" s="68"/>
      <c r="H337" s="88">
        <f>1038654.83</f>
        <v>1038654.83</v>
      </c>
      <c r="I337" s="151"/>
      <c r="J337" s="88">
        <f>1100079.6</f>
        <v>1100079.6</v>
      </c>
      <c r="K337" s="151"/>
      <c r="L337" s="151"/>
      <c r="M337" s="88">
        <f>1205691</f>
        <v>1205691</v>
      </c>
    </row>
    <row r="338" spans="1:13" ht="12">
      <c r="A338" s="93">
        <f t="shared" si="24"/>
        <v>5</v>
      </c>
      <c r="B338" s="93"/>
      <c r="C338" s="12" t="s">
        <v>382</v>
      </c>
      <c r="E338" s="93">
        <f t="shared" si="25"/>
        <v>5</v>
      </c>
      <c r="F338" s="93"/>
      <c r="G338" s="68"/>
      <c r="H338" s="88"/>
      <c r="I338" s="151"/>
      <c r="J338" s="88"/>
      <c r="K338" s="151"/>
      <c r="L338" s="151"/>
      <c r="M338" s="88"/>
    </row>
    <row r="339" spans="1:13" ht="12">
      <c r="A339" s="93">
        <f t="shared" si="24"/>
        <v>6</v>
      </c>
      <c r="B339" s="93"/>
      <c r="C339" s="13" t="s">
        <v>383</v>
      </c>
      <c r="E339" s="93">
        <f t="shared" si="25"/>
        <v>6</v>
      </c>
      <c r="F339" s="93"/>
      <c r="G339" s="68"/>
      <c r="H339" s="88">
        <f>4701969.78-2558.4-852310.62+852311</f>
        <v>4699411.76</v>
      </c>
      <c r="I339" s="151"/>
      <c r="J339" s="88">
        <f>3966669.73-3891.9+857089</f>
        <v>4819866.83</v>
      </c>
      <c r="K339" s="151"/>
      <c r="L339" s="151"/>
      <c r="M339" s="88">
        <f>3955328+950070</f>
        <v>4905398</v>
      </c>
    </row>
    <row r="340" spans="1:13" ht="12">
      <c r="A340" s="93">
        <f t="shared" si="24"/>
        <v>7</v>
      </c>
      <c r="B340" s="93"/>
      <c r="C340" s="13"/>
      <c r="E340" s="93">
        <f t="shared" si="25"/>
        <v>7</v>
      </c>
      <c r="F340" s="93"/>
      <c r="G340" s="68"/>
      <c r="H340" s="88"/>
      <c r="I340" s="151"/>
      <c r="J340" s="88"/>
      <c r="K340" s="151"/>
      <c r="L340" s="151"/>
      <c r="M340" s="88"/>
    </row>
    <row r="341" spans="1:13" ht="12">
      <c r="A341" s="93">
        <f t="shared" si="24"/>
        <v>8</v>
      </c>
      <c r="B341" s="93"/>
      <c r="E341" s="93">
        <f t="shared" si="25"/>
        <v>8</v>
      </c>
      <c r="F341" s="93"/>
      <c r="G341" s="68"/>
      <c r="H341" s="88"/>
      <c r="I341" s="151"/>
      <c r="J341" s="88"/>
      <c r="K341" s="151"/>
      <c r="L341" s="151"/>
      <c r="M341" s="88"/>
    </row>
    <row r="342" spans="1:6" ht="12">
      <c r="A342" s="93">
        <v>9</v>
      </c>
      <c r="B342" s="93"/>
      <c r="C342" s="13"/>
      <c r="E342" s="93">
        <v>9</v>
      </c>
      <c r="F342" s="93"/>
    </row>
    <row r="343" spans="5:13" ht="12">
      <c r="E343" s="93"/>
      <c r="F343" s="93"/>
      <c r="G343" s="90" t="s">
        <v>1</v>
      </c>
      <c r="H343" s="90" t="s">
        <v>1</v>
      </c>
      <c r="I343" s="90" t="s">
        <v>1</v>
      </c>
      <c r="J343" s="90" t="s">
        <v>1</v>
      </c>
      <c r="K343" s="90" t="s">
        <v>1</v>
      </c>
      <c r="L343" s="90"/>
      <c r="M343" s="90" t="s">
        <v>1</v>
      </c>
    </row>
    <row r="344" spans="1:13" ht="12">
      <c r="A344" s="93">
        <v>10</v>
      </c>
      <c r="B344" s="93"/>
      <c r="C344" s="7" t="s">
        <v>371</v>
      </c>
      <c r="E344" s="93">
        <v>10</v>
      </c>
      <c r="F344" s="93"/>
      <c r="G344" s="68"/>
      <c r="H344" s="88">
        <f>SUM(H335:H343)</f>
        <v>50228343.129999995</v>
      </c>
      <c r="I344" s="151"/>
      <c r="J344" s="88">
        <f>SUM(J335:J343)</f>
        <v>52429955.27</v>
      </c>
      <c r="K344" s="151"/>
      <c r="L344" s="151"/>
      <c r="M344" s="88">
        <f>SUM(M335:M343)</f>
        <v>49583757</v>
      </c>
    </row>
    <row r="345" spans="7:12" ht="12">
      <c r="G345" s="68"/>
      <c r="I345" s="151"/>
      <c r="K345" s="151"/>
      <c r="L345" s="151"/>
    </row>
    <row r="346" spans="1:13" ht="12">
      <c r="A346" s="93">
        <v>11</v>
      </c>
      <c r="B346" s="93"/>
      <c r="C346" s="13" t="s">
        <v>384</v>
      </c>
      <c r="E346" s="93">
        <v>11</v>
      </c>
      <c r="F346" s="93"/>
      <c r="G346" s="68"/>
      <c r="H346" s="59">
        <f>2481139.75</f>
        <v>2481139.75</v>
      </c>
      <c r="I346" s="151"/>
      <c r="J346" s="88">
        <f>2718896.76-1440</f>
        <v>2717456.76</v>
      </c>
      <c r="K346" s="151"/>
      <c r="L346" s="151"/>
      <c r="M346" s="88">
        <f>2725879</f>
        <v>2725879</v>
      </c>
    </row>
    <row r="347" spans="1:13" ht="12">
      <c r="A347" s="93">
        <v>12</v>
      </c>
      <c r="B347" s="93"/>
      <c r="C347" s="13" t="s">
        <v>385</v>
      </c>
      <c r="E347" s="93">
        <v>12</v>
      </c>
      <c r="F347" s="93"/>
      <c r="G347" s="68"/>
      <c r="I347" s="151"/>
      <c r="J347" s="88"/>
      <c r="K347" s="151"/>
      <c r="L347" s="151"/>
      <c r="M347" s="88"/>
    </row>
    <row r="348" spans="1:13" ht="12">
      <c r="A348" s="93">
        <v>13</v>
      </c>
      <c r="B348" s="93"/>
      <c r="C348" s="13" t="s">
        <v>386</v>
      </c>
      <c r="E348" s="93">
        <v>13</v>
      </c>
      <c r="F348" s="93"/>
      <c r="G348" s="68"/>
      <c r="H348" s="88"/>
      <c r="I348" s="151"/>
      <c r="J348" s="88">
        <v>1440</v>
      </c>
      <c r="K348" s="151"/>
      <c r="L348" s="151"/>
      <c r="M348" s="88"/>
    </row>
    <row r="349" spans="3:13" ht="12">
      <c r="C349" s="13"/>
      <c r="G349" s="90" t="s">
        <v>1</v>
      </c>
      <c r="H349" s="90" t="s">
        <v>1</v>
      </c>
      <c r="I349" s="90" t="s">
        <v>1</v>
      </c>
      <c r="J349" s="90" t="s">
        <v>1</v>
      </c>
      <c r="K349" s="90" t="s">
        <v>1</v>
      </c>
      <c r="L349" s="90"/>
      <c r="M349" s="90" t="s">
        <v>1</v>
      </c>
    </row>
    <row r="350" spans="1:13" ht="12">
      <c r="A350" s="93">
        <v>14</v>
      </c>
      <c r="B350" s="93"/>
      <c r="C350" s="7" t="s">
        <v>373</v>
      </c>
      <c r="E350" s="93">
        <v>14</v>
      </c>
      <c r="F350" s="93"/>
      <c r="G350" s="68"/>
      <c r="H350" s="59">
        <f>SUM(H346:H349)</f>
        <v>2481139.75</v>
      </c>
      <c r="I350" s="68"/>
      <c r="J350" s="59">
        <f>SUM(J346:J349)</f>
        <v>2718896.76</v>
      </c>
      <c r="K350" s="68"/>
      <c r="L350" s="68"/>
      <c r="M350" s="59">
        <f>SUM(M346:M349)</f>
        <v>2725879</v>
      </c>
    </row>
    <row r="351" spans="1:13" ht="12">
      <c r="A351" s="93"/>
      <c r="B351" s="93"/>
      <c r="C351" s="13"/>
      <c r="E351" s="93"/>
      <c r="F351" s="93"/>
      <c r="G351" s="90" t="s">
        <v>1</v>
      </c>
      <c r="H351" s="90" t="s">
        <v>1</v>
      </c>
      <c r="I351" s="90" t="s">
        <v>1</v>
      </c>
      <c r="J351" s="90" t="s">
        <v>1</v>
      </c>
      <c r="K351" s="90" t="s">
        <v>1</v>
      </c>
      <c r="L351" s="90"/>
      <c r="M351" s="90" t="s">
        <v>1</v>
      </c>
    </row>
    <row r="352" spans="1:13" ht="12">
      <c r="A352" s="93">
        <v>15</v>
      </c>
      <c r="B352" s="93"/>
      <c r="C352" s="12" t="s">
        <v>387</v>
      </c>
      <c r="E352" s="93">
        <v>15</v>
      </c>
      <c r="F352" s="93"/>
      <c r="G352" s="68"/>
      <c r="H352" s="59">
        <f>SUM(H344+H350)</f>
        <v>52709482.879999995</v>
      </c>
      <c r="I352" s="68"/>
      <c r="J352" s="59">
        <f>SUM(J344+J350)</f>
        <v>55148852.03</v>
      </c>
      <c r="K352" s="68"/>
      <c r="L352" s="68"/>
      <c r="M352" s="59">
        <f>SUM(M344+M350)</f>
        <v>52309636</v>
      </c>
    </row>
    <row r="353" spans="1:13" ht="12">
      <c r="A353" s="93"/>
      <c r="B353" s="93"/>
      <c r="C353" s="12"/>
      <c r="E353" s="93"/>
      <c r="F353" s="93"/>
      <c r="G353" s="68"/>
      <c r="H353" s="59"/>
      <c r="I353" s="68"/>
      <c r="J353" s="59"/>
      <c r="K353" s="68"/>
      <c r="L353" s="68"/>
      <c r="M353" s="59"/>
    </row>
    <row r="354" spans="1:13" ht="12">
      <c r="A354" s="93"/>
      <c r="B354" s="93"/>
      <c r="E354" s="93"/>
      <c r="F354" s="93"/>
      <c r="G354" s="68"/>
      <c r="H354" s="59"/>
      <c r="I354" s="68"/>
      <c r="J354" s="59"/>
      <c r="K354" s="68"/>
      <c r="L354" s="68"/>
      <c r="M354" s="59"/>
    </row>
    <row r="355" spans="1:13" ht="12">
      <c r="A355" s="93">
        <v>16</v>
      </c>
      <c r="B355" s="93"/>
      <c r="C355" s="94" t="s">
        <v>375</v>
      </c>
      <c r="E355" s="93">
        <v>16</v>
      </c>
      <c r="F355" s="93"/>
      <c r="G355" s="68"/>
      <c r="H355" s="88"/>
      <c r="I355" s="151"/>
      <c r="J355" s="88"/>
      <c r="K355" s="88"/>
      <c r="L355" s="88"/>
      <c r="M355" s="88"/>
    </row>
    <row r="356" spans="1:13" ht="12">
      <c r="A356" s="93">
        <v>17</v>
      </c>
      <c r="B356" s="93"/>
      <c r="C356" s="12" t="s">
        <v>388</v>
      </c>
      <c r="E356" s="93">
        <v>17</v>
      </c>
      <c r="F356" s="93"/>
      <c r="H356" s="88">
        <f>1945756-43000</f>
        <v>1902756</v>
      </c>
      <c r="I356" s="13"/>
      <c r="J356" s="88">
        <f>5568066</f>
        <v>5568066</v>
      </c>
      <c r="K356" s="88"/>
      <c r="L356" s="88"/>
      <c r="M356" s="88">
        <f>4617815+831241</f>
        <v>5449056</v>
      </c>
    </row>
    <row r="357" spans="1:10" ht="12">
      <c r="A357" s="93">
        <v>18</v>
      </c>
      <c r="B357" s="93"/>
      <c r="E357" s="93">
        <v>18</v>
      </c>
      <c r="F357" s="93"/>
      <c r="H357" s="152"/>
      <c r="J357" s="152"/>
    </row>
    <row r="358" spans="1:6" ht="12">
      <c r="A358" s="93">
        <v>19</v>
      </c>
      <c r="B358" s="93"/>
      <c r="E358" s="93">
        <v>19</v>
      </c>
      <c r="F358" s="93"/>
    </row>
    <row r="359" spans="1:13" ht="12">
      <c r="A359" s="93"/>
      <c r="B359" s="93"/>
      <c r="C359" s="94"/>
      <c r="E359" s="93"/>
      <c r="F359" s="93"/>
      <c r="G359" s="90" t="s">
        <v>1</v>
      </c>
      <c r="H359" s="90" t="s">
        <v>1</v>
      </c>
      <c r="I359" s="90" t="s">
        <v>1</v>
      </c>
      <c r="J359" s="90" t="s">
        <v>1</v>
      </c>
      <c r="K359" s="90" t="s">
        <v>1</v>
      </c>
      <c r="L359" s="90"/>
      <c r="M359" s="90" t="s">
        <v>1</v>
      </c>
    </row>
    <row r="360" spans="1:13" ht="12">
      <c r="A360" s="93">
        <v>20</v>
      </c>
      <c r="B360" s="93"/>
      <c r="C360" s="94" t="s">
        <v>389</v>
      </c>
      <c r="E360" s="93">
        <v>20</v>
      </c>
      <c r="F360" s="93"/>
      <c r="G360" s="68"/>
      <c r="H360" s="59">
        <f>SUM(H352:H358)</f>
        <v>54612238.879999995</v>
      </c>
      <c r="I360" s="68"/>
      <c r="J360" s="59">
        <f>SUM(J352:J358)</f>
        <v>60716918.03</v>
      </c>
      <c r="K360" s="68"/>
      <c r="L360" s="68"/>
      <c r="M360" s="59">
        <f>SUM(M352:M358)</f>
        <v>57758692</v>
      </c>
    </row>
    <row r="361" spans="1:13" ht="12">
      <c r="A361" s="96"/>
      <c r="B361" s="96"/>
      <c r="C361" s="12"/>
      <c r="E361" s="50"/>
      <c r="F361" s="50"/>
      <c r="G361" s="90" t="s">
        <v>1</v>
      </c>
      <c r="H361" s="90" t="s">
        <v>1</v>
      </c>
      <c r="I361" s="90" t="s">
        <v>1</v>
      </c>
      <c r="J361" s="90" t="s">
        <v>1</v>
      </c>
      <c r="K361" s="90" t="s">
        <v>1</v>
      </c>
      <c r="L361" s="90"/>
      <c r="M361" s="90" t="s">
        <v>1</v>
      </c>
    </row>
    <row r="362" spans="7:13" ht="12">
      <c r="G362" s="90"/>
      <c r="H362" s="90"/>
      <c r="I362" s="90"/>
      <c r="J362" s="59"/>
      <c r="K362" s="90"/>
      <c r="L362" s="90"/>
      <c r="M362" s="90"/>
    </row>
    <row r="363" spans="7:13" ht="12">
      <c r="G363" s="90"/>
      <c r="H363" s="90"/>
      <c r="I363" s="90"/>
      <c r="J363" s="59"/>
      <c r="K363" s="90"/>
      <c r="L363" s="90"/>
      <c r="M363" s="90"/>
    </row>
    <row r="364" spans="1:13" ht="12">
      <c r="A364" s="16" t="s">
        <v>320</v>
      </c>
      <c r="B364" s="16"/>
      <c r="E364" s="50"/>
      <c r="F364" s="50"/>
      <c r="G364" s="5"/>
      <c r="H364" s="59"/>
      <c r="I364" s="5"/>
      <c r="J364" s="59"/>
      <c r="K364" s="5"/>
      <c r="L364" s="5"/>
      <c r="M364" s="146" t="s">
        <v>221</v>
      </c>
    </row>
    <row r="365" spans="1:13" ht="12">
      <c r="A365" s="267" t="s">
        <v>390</v>
      </c>
      <c r="B365" s="267"/>
      <c r="C365" s="267"/>
      <c r="D365" s="267"/>
      <c r="E365" s="267"/>
      <c r="F365" s="267"/>
      <c r="G365" s="267"/>
      <c r="H365" s="267"/>
      <c r="I365" s="267"/>
      <c r="J365" s="267"/>
      <c r="K365" s="267"/>
      <c r="L365" s="267"/>
      <c r="M365" s="267"/>
    </row>
    <row r="366" spans="1:13" ht="12">
      <c r="A366" s="16" t="s">
        <v>292</v>
      </c>
      <c r="B366" s="16"/>
      <c r="G366" s="34"/>
      <c r="H366" s="92"/>
      <c r="I366" s="92"/>
      <c r="J366" s="59"/>
      <c r="K366" s="5"/>
      <c r="L366" s="5"/>
      <c r="M366" s="207" t="s">
        <v>293</v>
      </c>
    </row>
    <row r="367" spans="1:13" ht="12">
      <c r="A367" s="21" t="s">
        <v>1</v>
      </c>
      <c r="B367" s="21"/>
      <c r="C367" s="21" t="s">
        <v>1</v>
      </c>
      <c r="D367" s="21" t="s">
        <v>1</v>
      </c>
      <c r="E367" s="21" t="s">
        <v>1</v>
      </c>
      <c r="F367" s="21"/>
      <c r="G367" s="21" t="s">
        <v>1</v>
      </c>
      <c r="H367" s="21" t="s">
        <v>1</v>
      </c>
      <c r="I367" s="21" t="s">
        <v>1</v>
      </c>
      <c r="J367" s="21" t="s">
        <v>1</v>
      </c>
      <c r="K367" s="21" t="s">
        <v>1</v>
      </c>
      <c r="L367" s="21"/>
      <c r="M367" s="21" t="s">
        <v>1</v>
      </c>
    </row>
    <row r="368" spans="1:13" ht="12">
      <c r="A368" s="24" t="s">
        <v>2</v>
      </c>
      <c r="B368" s="24"/>
      <c r="E368" s="24" t="s">
        <v>2</v>
      </c>
      <c r="F368" s="24"/>
      <c r="G368" s="59"/>
      <c r="H368" s="130" t="s">
        <v>249</v>
      </c>
      <c r="I368" s="68"/>
      <c r="J368" s="130" t="s">
        <v>251</v>
      </c>
      <c r="K368" s="68"/>
      <c r="L368" s="68"/>
      <c r="M368" s="130" t="s">
        <v>260</v>
      </c>
    </row>
    <row r="369" spans="1:13" ht="12">
      <c r="A369" s="24" t="s">
        <v>4</v>
      </c>
      <c r="B369" s="24"/>
      <c r="C369" s="28" t="s">
        <v>20</v>
      </c>
      <c r="E369" s="24" t="s">
        <v>4</v>
      </c>
      <c r="F369" s="24"/>
      <c r="G369" s="5"/>
      <c r="H369" s="130" t="s">
        <v>7</v>
      </c>
      <c r="I369" s="5"/>
      <c r="J369" s="130" t="s">
        <v>7</v>
      </c>
      <c r="K369" s="5"/>
      <c r="L369" s="5"/>
      <c r="M369" s="130" t="s">
        <v>8</v>
      </c>
    </row>
    <row r="370" spans="1:13" ht="12">
      <c r="A370" s="21" t="s">
        <v>1</v>
      </c>
      <c r="B370" s="21"/>
      <c r="C370" s="21" t="s">
        <v>1</v>
      </c>
      <c r="D370" s="21" t="s">
        <v>1</v>
      </c>
      <c r="E370" s="21" t="s">
        <v>1</v>
      </c>
      <c r="F370" s="21"/>
      <c r="G370" s="21" t="s">
        <v>1</v>
      </c>
      <c r="H370" s="21" t="s">
        <v>1</v>
      </c>
      <c r="I370" s="21" t="s">
        <v>1</v>
      </c>
      <c r="J370" s="21" t="s">
        <v>1</v>
      </c>
      <c r="K370" s="21" t="s">
        <v>1</v>
      </c>
      <c r="L370" s="21"/>
      <c r="M370" s="143" t="s">
        <v>1</v>
      </c>
    </row>
    <row r="371" spans="1:13" ht="12">
      <c r="A371" s="7">
        <v>1</v>
      </c>
      <c r="C371" s="7" t="s">
        <v>391</v>
      </c>
      <c r="E371" s="7">
        <v>1</v>
      </c>
      <c r="G371" s="90"/>
      <c r="H371" s="90"/>
      <c r="I371" s="90"/>
      <c r="J371" s="59"/>
      <c r="K371" s="90"/>
      <c r="L371" s="90"/>
      <c r="M371" s="90"/>
    </row>
    <row r="372" spans="7:13" ht="12">
      <c r="G372" s="90"/>
      <c r="H372" s="90"/>
      <c r="I372" s="90"/>
      <c r="J372" s="59"/>
      <c r="K372" s="90"/>
      <c r="L372" s="90"/>
      <c r="M372" s="90"/>
    </row>
    <row r="373" spans="1:13" ht="12">
      <c r="A373" s="7">
        <v>2</v>
      </c>
      <c r="C373" s="7" t="s">
        <v>392</v>
      </c>
      <c r="E373" s="7">
        <v>2</v>
      </c>
      <c r="G373" s="90"/>
      <c r="H373" s="90"/>
      <c r="I373" s="90"/>
      <c r="J373" s="59"/>
      <c r="K373" s="90"/>
      <c r="L373" s="90"/>
      <c r="M373" s="90"/>
    </row>
    <row r="374" spans="1:13" ht="12">
      <c r="A374" s="7">
        <v>3</v>
      </c>
      <c r="C374" s="7" t="s">
        <v>393</v>
      </c>
      <c r="E374" s="7">
        <v>3</v>
      </c>
      <c r="G374" s="90"/>
      <c r="H374" s="88">
        <f>2871255</f>
        <v>2871255</v>
      </c>
      <c r="I374" s="90"/>
      <c r="J374" s="88">
        <f>5743080</f>
        <v>5743080</v>
      </c>
      <c r="K374" s="90"/>
      <c r="L374" s="90"/>
      <c r="M374" s="88">
        <f>8416681</f>
        <v>8416681</v>
      </c>
    </row>
    <row r="375" spans="1:13" ht="12">
      <c r="A375" s="7">
        <v>4</v>
      </c>
      <c r="C375" s="7" t="s">
        <v>394</v>
      </c>
      <c r="E375" s="7">
        <v>4</v>
      </c>
      <c r="G375" s="90"/>
      <c r="H375" s="88">
        <f>100</f>
        <v>100</v>
      </c>
      <c r="I375" s="90"/>
      <c r="J375" s="88">
        <f>200</f>
        <v>200</v>
      </c>
      <c r="K375" s="90"/>
      <c r="L375" s="90"/>
      <c r="M375" s="88">
        <f>300</f>
        <v>300</v>
      </c>
    </row>
    <row r="376" spans="1:5" ht="12">
      <c r="A376" s="7">
        <v>5</v>
      </c>
      <c r="E376" s="7">
        <v>5</v>
      </c>
    </row>
    <row r="377" spans="1:13" ht="12">
      <c r="A377" s="7">
        <v>6</v>
      </c>
      <c r="E377" s="7">
        <v>6</v>
      </c>
      <c r="G377" s="90"/>
      <c r="H377" s="90"/>
      <c r="I377" s="90"/>
      <c r="J377" s="59"/>
      <c r="K377" s="90"/>
      <c r="L377" s="90"/>
      <c r="M377" s="90"/>
    </row>
    <row r="378" spans="1:5" ht="12">
      <c r="A378" s="7">
        <v>7</v>
      </c>
      <c r="E378" s="7">
        <v>7</v>
      </c>
    </row>
    <row r="379" spans="1:13" ht="12">
      <c r="A379" s="7">
        <v>8</v>
      </c>
      <c r="E379" s="7">
        <v>8</v>
      </c>
      <c r="G379" s="90"/>
      <c r="H379" s="90"/>
      <c r="I379" s="90"/>
      <c r="J379" s="59"/>
      <c r="K379" s="90"/>
      <c r="L379" s="90"/>
      <c r="M379" s="90"/>
    </row>
    <row r="380" spans="1:13" ht="12">
      <c r="A380" s="7">
        <v>9</v>
      </c>
      <c r="E380" s="7">
        <v>9</v>
      </c>
      <c r="G380" s="90"/>
      <c r="H380" s="90"/>
      <c r="I380" s="90"/>
      <c r="J380" s="59"/>
      <c r="K380" s="90"/>
      <c r="L380" s="90"/>
      <c r="M380" s="90"/>
    </row>
    <row r="381" spans="1:13" ht="12">
      <c r="A381" s="7">
        <v>10</v>
      </c>
      <c r="E381" s="7">
        <v>10</v>
      </c>
      <c r="G381" s="90"/>
      <c r="H381" s="90"/>
      <c r="I381" s="90"/>
      <c r="J381" s="59"/>
      <c r="K381" s="90"/>
      <c r="L381" s="90"/>
      <c r="M381" s="90"/>
    </row>
    <row r="382" spans="1:13" ht="12">
      <c r="A382" s="7">
        <v>11</v>
      </c>
      <c r="E382" s="7">
        <v>11</v>
      </c>
      <c r="G382" s="90"/>
      <c r="H382" s="90"/>
      <c r="I382" s="90"/>
      <c r="J382" s="59"/>
      <c r="K382" s="90"/>
      <c r="L382" s="90"/>
      <c r="M382" s="90"/>
    </row>
    <row r="383" spans="1:13" ht="12">
      <c r="A383" s="7">
        <v>12</v>
      </c>
      <c r="E383" s="7">
        <v>12</v>
      </c>
      <c r="G383" s="90"/>
      <c r="H383" s="90"/>
      <c r="I383" s="90"/>
      <c r="J383" s="59"/>
      <c r="K383" s="90"/>
      <c r="L383" s="90"/>
      <c r="M383" s="90"/>
    </row>
    <row r="384" spans="1:13" ht="12">
      <c r="A384" s="7">
        <v>13</v>
      </c>
      <c r="E384" s="7">
        <v>13</v>
      </c>
      <c r="G384" s="90"/>
      <c r="H384" s="90"/>
      <c r="I384" s="90"/>
      <c r="J384" s="59"/>
      <c r="K384" s="90"/>
      <c r="L384" s="90"/>
      <c r="M384" s="90"/>
    </row>
    <row r="385" spans="1:13" ht="12">
      <c r="A385" s="7">
        <v>14</v>
      </c>
      <c r="E385" s="7">
        <v>14</v>
      </c>
      <c r="G385" s="90"/>
      <c r="H385" s="90"/>
      <c r="I385" s="90"/>
      <c r="J385" s="59"/>
      <c r="K385" s="90"/>
      <c r="L385" s="90"/>
      <c r="M385" s="90"/>
    </row>
    <row r="386" spans="1:13" ht="12">
      <c r="A386" s="7">
        <v>15</v>
      </c>
      <c r="E386" s="7">
        <v>15</v>
      </c>
      <c r="G386" s="90"/>
      <c r="H386" s="90"/>
      <c r="I386" s="90"/>
      <c r="J386" s="59"/>
      <c r="K386" s="90"/>
      <c r="L386" s="90"/>
      <c r="M386" s="90"/>
    </row>
    <row r="387" spans="1:13" ht="12">
      <c r="A387" s="7">
        <v>16</v>
      </c>
      <c r="E387" s="7">
        <v>16</v>
      </c>
      <c r="G387" s="90"/>
      <c r="H387" s="90"/>
      <c r="I387" s="90"/>
      <c r="J387" s="59"/>
      <c r="K387" s="90"/>
      <c r="L387" s="90"/>
      <c r="M387" s="90"/>
    </row>
    <row r="388" spans="1:13" ht="12">
      <c r="A388" s="7">
        <v>17</v>
      </c>
      <c r="E388" s="7">
        <v>17</v>
      </c>
      <c r="G388" s="90"/>
      <c r="H388" s="90"/>
      <c r="I388" s="90"/>
      <c r="J388" s="59"/>
      <c r="K388" s="90"/>
      <c r="L388" s="90"/>
      <c r="M388" s="90"/>
    </row>
    <row r="389" spans="1:13" ht="12">
      <c r="A389" s="7">
        <v>18</v>
      </c>
      <c r="E389" s="7">
        <v>18</v>
      </c>
      <c r="G389" s="90"/>
      <c r="H389" s="90"/>
      <c r="I389" s="90"/>
      <c r="J389" s="59"/>
      <c r="K389" s="90"/>
      <c r="L389" s="90"/>
      <c r="M389" s="90"/>
    </row>
    <row r="390" spans="1:13" ht="12">
      <c r="A390" s="7">
        <v>19</v>
      </c>
      <c r="E390" s="7">
        <v>19</v>
      </c>
      <c r="G390" s="90"/>
      <c r="H390" s="90"/>
      <c r="I390" s="90"/>
      <c r="J390" s="59"/>
      <c r="K390" s="90"/>
      <c r="L390" s="90"/>
      <c r="M390" s="90"/>
    </row>
    <row r="391" spans="1:13" ht="12">
      <c r="A391" s="7">
        <v>20</v>
      </c>
      <c r="E391" s="7">
        <v>20</v>
      </c>
      <c r="G391" s="90"/>
      <c r="H391" s="90"/>
      <c r="I391" s="90"/>
      <c r="J391" s="59"/>
      <c r="K391" s="90"/>
      <c r="L391" s="90"/>
      <c r="M391" s="90"/>
    </row>
    <row r="392" spans="1:13" ht="12">
      <c r="A392" s="7">
        <v>21</v>
      </c>
      <c r="E392" s="7">
        <v>21</v>
      </c>
      <c r="G392" s="90"/>
      <c r="H392" s="90"/>
      <c r="I392" s="90"/>
      <c r="J392" s="59"/>
      <c r="K392" s="90"/>
      <c r="L392" s="90"/>
      <c r="M392" s="90"/>
    </row>
    <row r="393" spans="1:13" ht="12">
      <c r="A393" s="7">
        <v>22</v>
      </c>
      <c r="E393" s="7">
        <v>22</v>
      </c>
      <c r="G393" s="90"/>
      <c r="H393" s="90"/>
      <c r="I393" s="90"/>
      <c r="J393" s="59"/>
      <c r="K393" s="90"/>
      <c r="L393" s="90"/>
      <c r="M393" s="90"/>
    </row>
    <row r="394" spans="1:5" ht="12">
      <c r="A394" s="7">
        <v>23</v>
      </c>
      <c r="E394" s="7">
        <v>23</v>
      </c>
    </row>
    <row r="395" spans="1:5" ht="12">
      <c r="A395" s="7">
        <v>24</v>
      </c>
      <c r="E395" s="7">
        <v>24</v>
      </c>
    </row>
    <row r="396" spans="7:13" ht="12">
      <c r="G396" s="90" t="s">
        <v>1</v>
      </c>
      <c r="H396" s="90" t="s">
        <v>1</v>
      </c>
      <c r="I396" s="90" t="s">
        <v>1</v>
      </c>
      <c r="J396" s="90" t="s">
        <v>1</v>
      </c>
      <c r="K396" s="90" t="s">
        <v>1</v>
      </c>
      <c r="L396" s="90"/>
      <c r="M396" s="90" t="s">
        <v>1</v>
      </c>
    </row>
    <row r="397" spans="1:13" ht="12">
      <c r="A397" s="7">
        <v>25</v>
      </c>
      <c r="C397" s="7" t="s">
        <v>395</v>
      </c>
      <c r="E397" s="7">
        <v>25</v>
      </c>
      <c r="G397" s="90"/>
      <c r="H397" s="59">
        <f>H374</f>
        <v>2871255</v>
      </c>
      <c r="I397" s="90"/>
      <c r="J397" s="59">
        <f>J374</f>
        <v>5743080</v>
      </c>
      <c r="K397" s="90"/>
      <c r="L397" s="90"/>
      <c r="M397" s="59">
        <f>M374</f>
        <v>8416681</v>
      </c>
    </row>
    <row r="398" spans="7:13" ht="12">
      <c r="G398" s="90" t="s">
        <v>1</v>
      </c>
      <c r="H398" s="90" t="s">
        <v>1</v>
      </c>
      <c r="I398" s="90" t="s">
        <v>1</v>
      </c>
      <c r="J398" s="90" t="s">
        <v>1</v>
      </c>
      <c r="K398" s="90" t="s">
        <v>1</v>
      </c>
      <c r="L398" s="90"/>
      <c r="M398" s="90" t="s">
        <v>1</v>
      </c>
    </row>
    <row r="399" spans="7:13" ht="12">
      <c r="G399" s="90"/>
      <c r="H399" s="59"/>
      <c r="I399" s="90"/>
      <c r="J399" s="59"/>
      <c r="K399" s="90"/>
      <c r="L399" s="90"/>
      <c r="M399" s="59"/>
    </row>
    <row r="400" ht="12">
      <c r="A400" s="7" t="s">
        <v>396</v>
      </c>
    </row>
    <row r="402" spans="1:13" ht="12">
      <c r="A402" s="16" t="s">
        <v>291</v>
      </c>
      <c r="B402" s="16"/>
      <c r="E402" s="50"/>
      <c r="F402" s="50"/>
      <c r="G402" s="5"/>
      <c r="H402" s="59"/>
      <c r="I402" s="5"/>
      <c r="J402" s="59"/>
      <c r="K402" s="5"/>
      <c r="L402" s="5"/>
      <c r="M402" s="146" t="s">
        <v>82</v>
      </c>
    </row>
    <row r="403" spans="1:13" ht="12">
      <c r="A403" s="270" t="s">
        <v>216</v>
      </c>
      <c r="B403" s="270"/>
      <c r="C403" s="270"/>
      <c r="D403" s="270"/>
      <c r="E403" s="270"/>
      <c r="F403" s="270"/>
      <c r="G403" s="270"/>
      <c r="H403" s="270"/>
      <c r="I403" s="270"/>
      <c r="J403" s="270"/>
      <c r="K403" s="270"/>
      <c r="L403" s="270"/>
      <c r="M403" s="270"/>
    </row>
    <row r="404" spans="1:13" ht="12">
      <c r="A404" s="16" t="s">
        <v>292</v>
      </c>
      <c r="B404" s="16"/>
      <c r="G404" s="213"/>
      <c r="J404" s="59"/>
      <c r="K404" s="5"/>
      <c r="L404" s="5"/>
      <c r="M404" s="207" t="s">
        <v>397</v>
      </c>
    </row>
    <row r="405" spans="1:13" ht="12">
      <c r="A405" s="21" t="s">
        <v>1</v>
      </c>
      <c r="B405" s="21"/>
      <c r="C405" s="21" t="s">
        <v>1</v>
      </c>
      <c r="D405" s="21" t="s">
        <v>1</v>
      </c>
      <c r="E405" s="21" t="s">
        <v>1</v>
      </c>
      <c r="F405" s="21"/>
      <c r="G405" s="21" t="s">
        <v>1</v>
      </c>
      <c r="H405" s="21" t="s">
        <v>1</v>
      </c>
      <c r="I405" s="21" t="s">
        <v>1</v>
      </c>
      <c r="J405" s="21" t="s">
        <v>1</v>
      </c>
      <c r="K405" s="21" t="s">
        <v>1</v>
      </c>
      <c r="L405" s="21"/>
      <c r="M405" s="21" t="s">
        <v>1</v>
      </c>
    </row>
    <row r="406" spans="1:13" ht="12">
      <c r="A406" s="24" t="s">
        <v>2</v>
      </c>
      <c r="B406" s="24"/>
      <c r="E406" s="24" t="s">
        <v>2</v>
      </c>
      <c r="F406" s="24"/>
      <c r="G406" s="130"/>
      <c r="H406" s="130" t="s">
        <v>249</v>
      </c>
      <c r="I406" s="142"/>
      <c r="J406" s="130" t="s">
        <v>251</v>
      </c>
      <c r="K406" s="68"/>
      <c r="L406" s="68"/>
      <c r="M406" s="130" t="s">
        <v>260</v>
      </c>
    </row>
    <row r="407" spans="1:13" ht="12">
      <c r="A407" s="24" t="s">
        <v>4</v>
      </c>
      <c r="B407" s="24"/>
      <c r="C407" s="28" t="s">
        <v>20</v>
      </c>
      <c r="E407" s="24" t="s">
        <v>4</v>
      </c>
      <c r="F407" s="24"/>
      <c r="G407" s="149"/>
      <c r="H407" s="130" t="s">
        <v>7</v>
      </c>
      <c r="I407" s="149"/>
      <c r="J407" s="130" t="s">
        <v>7</v>
      </c>
      <c r="K407" s="149"/>
      <c r="L407" s="149"/>
      <c r="M407" s="130" t="s">
        <v>8</v>
      </c>
    </row>
    <row r="408" spans="1:13" ht="12">
      <c r="A408" s="21" t="s">
        <v>1</v>
      </c>
      <c r="B408" s="21"/>
      <c r="C408" s="21" t="s">
        <v>1</v>
      </c>
      <c r="D408" s="21" t="s">
        <v>1</v>
      </c>
      <c r="E408" s="21" t="s">
        <v>1</v>
      </c>
      <c r="F408" s="21"/>
      <c r="G408" s="21" t="s">
        <v>1</v>
      </c>
      <c r="H408" s="21" t="s">
        <v>1</v>
      </c>
      <c r="I408" s="21" t="s">
        <v>1</v>
      </c>
      <c r="J408" s="21" t="s">
        <v>1</v>
      </c>
      <c r="K408" s="21" t="s">
        <v>1</v>
      </c>
      <c r="L408" s="21"/>
      <c r="M408" s="143" t="s">
        <v>1</v>
      </c>
    </row>
    <row r="409" spans="1:13" ht="12">
      <c r="A409" s="97">
        <v>1</v>
      </c>
      <c r="B409" s="97"/>
      <c r="C409" s="12"/>
      <c r="E409" s="97"/>
      <c r="F409" s="97"/>
      <c r="G409" s="68"/>
      <c r="H409" s="88"/>
      <c r="I409" s="151"/>
      <c r="K409" s="151"/>
      <c r="L409" s="151"/>
      <c r="M409" s="88"/>
    </row>
    <row r="410" spans="1:13" ht="12">
      <c r="A410" s="97">
        <f aca="true" t="shared" si="26" ref="A410:A432">(A409+1)</f>
        <v>2</v>
      </c>
      <c r="B410" s="97"/>
      <c r="E410" s="97"/>
      <c r="F410" s="97"/>
      <c r="G410" s="68"/>
      <c r="H410" s="88"/>
      <c r="I410" s="151"/>
      <c r="J410" s="88"/>
      <c r="K410" s="151"/>
      <c r="L410" s="151"/>
      <c r="M410" s="88"/>
    </row>
    <row r="411" spans="1:13" ht="12">
      <c r="A411" s="97">
        <f t="shared" si="26"/>
        <v>3</v>
      </c>
      <c r="B411" s="97"/>
      <c r="E411" s="97"/>
      <c r="F411" s="97"/>
      <c r="G411" s="68"/>
      <c r="H411" s="88"/>
      <c r="I411" s="151"/>
      <c r="J411" s="88"/>
      <c r="K411" s="151"/>
      <c r="L411" s="151"/>
      <c r="M411" s="88"/>
    </row>
    <row r="412" spans="1:13" ht="12">
      <c r="A412" s="97">
        <f t="shared" si="26"/>
        <v>4</v>
      </c>
      <c r="B412" s="97"/>
      <c r="E412" s="97"/>
      <c r="F412" s="97"/>
      <c r="G412" s="68"/>
      <c r="H412" s="88"/>
      <c r="I412" s="151"/>
      <c r="J412" s="88"/>
      <c r="K412" s="151"/>
      <c r="L412" s="151"/>
      <c r="M412" s="88"/>
    </row>
    <row r="413" spans="1:12" ht="12">
      <c r="A413" s="97">
        <f t="shared" si="26"/>
        <v>5</v>
      </c>
      <c r="B413" s="97"/>
      <c r="E413" s="97">
        <f aca="true" t="shared" si="27" ref="E413:E432">(E412+1)</f>
        <v>1</v>
      </c>
      <c r="F413" s="97"/>
      <c r="G413" s="68"/>
      <c r="H413" s="88"/>
      <c r="I413" s="151"/>
      <c r="J413" s="88"/>
      <c r="K413" s="151"/>
      <c r="L413" s="151"/>
    </row>
    <row r="414" spans="1:13" ht="12">
      <c r="A414" s="97">
        <f t="shared" si="26"/>
        <v>6</v>
      </c>
      <c r="B414" s="97"/>
      <c r="C414" s="13"/>
      <c r="E414" s="97">
        <f t="shared" si="27"/>
        <v>2</v>
      </c>
      <c r="F414" s="97"/>
      <c r="G414" s="68"/>
      <c r="H414" s="88"/>
      <c r="I414" s="151"/>
      <c r="J414" s="88"/>
      <c r="K414" s="151"/>
      <c r="L414" s="151"/>
      <c r="M414" s="88"/>
    </row>
    <row r="415" spans="1:13" ht="12">
      <c r="A415" s="97">
        <f t="shared" si="26"/>
        <v>7</v>
      </c>
      <c r="B415" s="97"/>
      <c r="C415" s="12" t="s">
        <v>402</v>
      </c>
      <c r="E415" s="97">
        <f t="shared" si="27"/>
        <v>3</v>
      </c>
      <c r="F415" s="97"/>
      <c r="G415" s="68"/>
      <c r="H415" s="88"/>
      <c r="I415" s="151"/>
      <c r="J415" s="88"/>
      <c r="K415" s="151"/>
      <c r="L415" s="151"/>
      <c r="M415" s="88"/>
    </row>
    <row r="416" spans="1:13" ht="12">
      <c r="A416" s="97">
        <f t="shared" si="26"/>
        <v>8</v>
      </c>
      <c r="B416" s="97"/>
      <c r="C416" s="13"/>
      <c r="E416" s="97">
        <f t="shared" si="27"/>
        <v>4</v>
      </c>
      <c r="F416" s="97"/>
      <c r="G416" s="68"/>
      <c r="H416" s="88"/>
      <c r="I416" s="151"/>
      <c r="J416" s="88"/>
      <c r="K416" s="151"/>
      <c r="L416" s="151"/>
      <c r="M416" s="88"/>
    </row>
    <row r="417" spans="1:13" ht="12">
      <c r="A417" s="97">
        <f t="shared" si="26"/>
        <v>9</v>
      </c>
      <c r="B417" s="97"/>
      <c r="E417" s="97">
        <f t="shared" si="27"/>
        <v>5</v>
      </c>
      <c r="F417" s="97"/>
      <c r="G417" s="68"/>
      <c r="H417" s="88"/>
      <c r="I417" s="151"/>
      <c r="J417" s="88"/>
      <c r="K417" s="151"/>
      <c r="L417" s="151"/>
      <c r="M417" s="88"/>
    </row>
    <row r="418" spans="1:13" ht="12">
      <c r="A418" s="97">
        <f t="shared" si="26"/>
        <v>10</v>
      </c>
      <c r="B418" s="97"/>
      <c r="E418" s="97">
        <f t="shared" si="27"/>
        <v>6</v>
      </c>
      <c r="F418" s="97"/>
      <c r="G418" s="68"/>
      <c r="H418" s="88"/>
      <c r="I418" s="151"/>
      <c r="K418" s="151"/>
      <c r="L418" s="151"/>
      <c r="M418" s="88"/>
    </row>
    <row r="419" spans="1:13" ht="12">
      <c r="A419" s="97">
        <f t="shared" si="26"/>
        <v>11</v>
      </c>
      <c r="B419" s="97"/>
      <c r="E419" s="97">
        <f t="shared" si="27"/>
        <v>7</v>
      </c>
      <c r="F419" s="97"/>
      <c r="G419" s="68"/>
      <c r="H419" s="88"/>
      <c r="I419" s="151"/>
      <c r="K419" s="151"/>
      <c r="L419" s="151"/>
      <c r="M419" s="88"/>
    </row>
    <row r="420" spans="1:13" ht="12">
      <c r="A420" s="97">
        <f t="shared" si="26"/>
        <v>12</v>
      </c>
      <c r="B420" s="97"/>
      <c r="E420" s="97">
        <f t="shared" si="27"/>
        <v>8</v>
      </c>
      <c r="F420" s="97"/>
      <c r="G420" s="68"/>
      <c r="I420" s="151"/>
      <c r="K420" s="151"/>
      <c r="L420" s="151"/>
      <c r="M420" s="88"/>
    </row>
    <row r="421" spans="1:13" ht="12">
      <c r="A421" s="97">
        <f t="shared" si="26"/>
        <v>13</v>
      </c>
      <c r="B421" s="97"/>
      <c r="C421" s="13"/>
      <c r="E421" s="97">
        <f t="shared" si="27"/>
        <v>9</v>
      </c>
      <c r="F421" s="97"/>
      <c r="G421" s="68"/>
      <c r="H421" s="88"/>
      <c r="I421" s="151"/>
      <c r="J421" s="88"/>
      <c r="K421" s="151"/>
      <c r="L421" s="151"/>
      <c r="M421" s="88"/>
    </row>
    <row r="422" spans="1:13" ht="12">
      <c r="A422" s="97">
        <f t="shared" si="26"/>
        <v>14</v>
      </c>
      <c r="B422" s="97"/>
      <c r="C422" s="13" t="s">
        <v>403</v>
      </c>
      <c r="E422" s="97">
        <f t="shared" si="27"/>
        <v>10</v>
      </c>
      <c r="F422" s="97"/>
      <c r="G422" s="68"/>
      <c r="H422" s="88"/>
      <c r="I422" s="151"/>
      <c r="J422" s="88"/>
      <c r="K422" s="151"/>
      <c r="L422" s="151"/>
      <c r="M422" s="88"/>
    </row>
    <row r="423" spans="1:13" ht="12">
      <c r="A423" s="97">
        <f t="shared" si="26"/>
        <v>15</v>
      </c>
      <c r="B423" s="97"/>
      <c r="C423" s="13"/>
      <c r="E423" s="97">
        <f t="shared" si="27"/>
        <v>11</v>
      </c>
      <c r="F423" s="97"/>
      <c r="G423" s="68"/>
      <c r="H423" s="88"/>
      <c r="I423" s="151"/>
      <c r="J423" s="88"/>
      <c r="K423" s="151"/>
      <c r="L423" s="151"/>
      <c r="M423" s="88"/>
    </row>
    <row r="424" spans="1:13" ht="12">
      <c r="A424" s="97">
        <f t="shared" si="26"/>
        <v>16</v>
      </c>
      <c r="B424" s="97"/>
      <c r="C424" s="13"/>
      <c r="E424" s="97">
        <f t="shared" si="27"/>
        <v>12</v>
      </c>
      <c r="F424" s="97"/>
      <c r="G424" s="68"/>
      <c r="H424" s="88"/>
      <c r="I424" s="151"/>
      <c r="J424" s="88"/>
      <c r="K424" s="151"/>
      <c r="L424" s="151"/>
      <c r="M424" s="88"/>
    </row>
    <row r="425" spans="1:13" ht="12">
      <c r="A425" s="97">
        <f t="shared" si="26"/>
        <v>17</v>
      </c>
      <c r="B425" s="97"/>
      <c r="C425" s="13"/>
      <c r="E425" s="97">
        <f t="shared" si="27"/>
        <v>13</v>
      </c>
      <c r="F425" s="97"/>
      <c r="G425" s="68"/>
      <c r="H425" s="88"/>
      <c r="I425" s="151"/>
      <c r="J425" s="88"/>
      <c r="K425" s="151"/>
      <c r="L425" s="151"/>
      <c r="M425" s="88"/>
    </row>
    <row r="426" spans="1:13" ht="12">
      <c r="A426" s="97">
        <f t="shared" si="26"/>
        <v>18</v>
      </c>
      <c r="B426" s="97"/>
      <c r="C426" s="13"/>
      <c r="E426" s="97">
        <f t="shared" si="27"/>
        <v>14</v>
      </c>
      <c r="F426" s="97"/>
      <c r="G426" s="68"/>
      <c r="H426" s="88"/>
      <c r="I426" s="151"/>
      <c r="J426" s="88"/>
      <c r="K426" s="151"/>
      <c r="L426" s="151"/>
      <c r="M426" s="88"/>
    </row>
    <row r="427" spans="1:13" ht="12">
      <c r="A427" s="97">
        <f t="shared" si="26"/>
        <v>19</v>
      </c>
      <c r="B427" s="97"/>
      <c r="C427" s="13"/>
      <c r="E427" s="97">
        <f t="shared" si="27"/>
        <v>15</v>
      </c>
      <c r="F427" s="97"/>
      <c r="G427" s="68"/>
      <c r="H427" s="88"/>
      <c r="I427" s="151"/>
      <c r="J427" s="88"/>
      <c r="K427" s="151"/>
      <c r="L427" s="151"/>
      <c r="M427" s="88"/>
    </row>
    <row r="428" spans="1:13" ht="12">
      <c r="A428" s="97">
        <f t="shared" si="26"/>
        <v>20</v>
      </c>
      <c r="B428" s="97"/>
      <c r="C428" s="13"/>
      <c r="E428" s="97">
        <f t="shared" si="27"/>
        <v>16</v>
      </c>
      <c r="F428" s="97"/>
      <c r="G428" s="68"/>
      <c r="H428" s="88"/>
      <c r="I428" s="151"/>
      <c r="J428" s="88"/>
      <c r="K428" s="151"/>
      <c r="L428" s="151"/>
      <c r="M428" s="88"/>
    </row>
    <row r="429" spans="1:13" ht="12">
      <c r="A429" s="97">
        <f t="shared" si="26"/>
        <v>21</v>
      </c>
      <c r="B429" s="97"/>
      <c r="C429" s="13"/>
      <c r="E429" s="97">
        <f t="shared" si="27"/>
        <v>17</v>
      </c>
      <c r="F429" s="97"/>
      <c r="G429" s="68"/>
      <c r="H429" s="88"/>
      <c r="I429" s="151"/>
      <c r="J429" s="88"/>
      <c r="K429" s="151"/>
      <c r="L429" s="151"/>
      <c r="M429" s="88"/>
    </row>
    <row r="430" spans="1:13" ht="12">
      <c r="A430" s="97">
        <f t="shared" si="26"/>
        <v>22</v>
      </c>
      <c r="B430" s="97"/>
      <c r="C430" s="13"/>
      <c r="E430" s="97">
        <f t="shared" si="27"/>
        <v>18</v>
      </c>
      <c r="F430" s="97"/>
      <c r="G430" s="68"/>
      <c r="H430" s="88"/>
      <c r="I430" s="151"/>
      <c r="J430" s="88"/>
      <c r="K430" s="151"/>
      <c r="L430" s="151"/>
      <c r="M430" s="88"/>
    </row>
    <row r="431" spans="1:13" ht="12">
      <c r="A431" s="97">
        <f t="shared" si="26"/>
        <v>23</v>
      </c>
      <c r="B431" s="97"/>
      <c r="C431" s="13"/>
      <c r="E431" s="97">
        <f t="shared" si="27"/>
        <v>19</v>
      </c>
      <c r="F431" s="97"/>
      <c r="G431" s="68"/>
      <c r="H431" s="88"/>
      <c r="I431" s="151"/>
      <c r="J431" s="88"/>
      <c r="K431" s="151"/>
      <c r="L431" s="151"/>
      <c r="M431" s="88"/>
    </row>
    <row r="432" spans="1:13" ht="12">
      <c r="A432" s="97">
        <f t="shared" si="26"/>
        <v>24</v>
      </c>
      <c r="B432" s="97"/>
      <c r="C432" s="13"/>
      <c r="E432" s="97">
        <f t="shared" si="27"/>
        <v>20</v>
      </c>
      <c r="F432" s="97"/>
      <c r="G432" s="68"/>
      <c r="H432" s="88"/>
      <c r="I432" s="151"/>
      <c r="J432" s="88"/>
      <c r="K432" s="151"/>
      <c r="L432" s="151"/>
      <c r="M432" s="88"/>
    </row>
    <row r="433" spans="1:13" ht="12">
      <c r="A433" s="99"/>
      <c r="B433" s="99"/>
      <c r="E433" s="99"/>
      <c r="F433" s="99"/>
      <c r="G433" s="90" t="s">
        <v>1</v>
      </c>
      <c r="H433" s="90" t="s">
        <v>1</v>
      </c>
      <c r="I433" s="90" t="s">
        <v>1</v>
      </c>
      <c r="J433" s="90" t="s">
        <v>1</v>
      </c>
      <c r="K433" s="90" t="s">
        <v>1</v>
      </c>
      <c r="L433" s="90"/>
      <c r="M433" s="90" t="s">
        <v>1</v>
      </c>
    </row>
    <row r="434" spans="1:13" ht="12">
      <c r="A434" s="97">
        <f>(A432+1)</f>
        <v>25</v>
      </c>
      <c r="B434" s="97"/>
      <c r="C434" s="12" t="s">
        <v>404</v>
      </c>
      <c r="E434" s="97">
        <f>(E432+1)</f>
        <v>21</v>
      </c>
      <c r="F434" s="97"/>
      <c r="G434" s="68"/>
      <c r="H434" s="59">
        <f>SUM(H410:H432)</f>
        <v>0</v>
      </c>
      <c r="I434" s="68"/>
      <c r="J434" s="59">
        <f>SUM(J410:J432)</f>
        <v>0</v>
      </c>
      <c r="K434" s="68"/>
      <c r="L434" s="68"/>
      <c r="M434" s="59">
        <f>SUM(M410:M432)</f>
        <v>0</v>
      </c>
    </row>
    <row r="435" spans="1:13" ht="12">
      <c r="A435" s="97"/>
      <c r="B435" s="97"/>
      <c r="C435" s="12"/>
      <c r="E435" s="97"/>
      <c r="F435" s="97"/>
      <c r="G435" s="90" t="s">
        <v>1</v>
      </c>
      <c r="H435" s="90" t="s">
        <v>1</v>
      </c>
      <c r="I435" s="90" t="s">
        <v>1</v>
      </c>
      <c r="J435" s="90" t="s">
        <v>1</v>
      </c>
      <c r="K435" s="90" t="s">
        <v>1</v>
      </c>
      <c r="L435" s="90"/>
      <c r="M435" s="90" t="s">
        <v>1</v>
      </c>
    </row>
    <row r="436" spans="5:6" ht="12">
      <c r="E436" s="50"/>
      <c r="F436" s="50"/>
    </row>
    <row r="437" spans="1:13" ht="12">
      <c r="A437" s="16" t="s">
        <v>291</v>
      </c>
      <c r="B437" s="16"/>
      <c r="E437" s="50"/>
      <c r="F437" s="50"/>
      <c r="G437" s="5"/>
      <c r="H437" s="59"/>
      <c r="I437" s="5"/>
      <c r="J437" s="59"/>
      <c r="K437" s="5"/>
      <c r="L437" s="5"/>
      <c r="M437" s="146" t="s">
        <v>186</v>
      </c>
    </row>
    <row r="438" spans="1:13" ht="12">
      <c r="A438" s="270" t="s">
        <v>405</v>
      </c>
      <c r="B438" s="270"/>
      <c r="C438" s="270"/>
      <c r="D438" s="270"/>
      <c r="E438" s="270"/>
      <c r="F438" s="270"/>
      <c r="G438" s="270"/>
      <c r="H438" s="270"/>
      <c r="I438" s="270"/>
      <c r="J438" s="270"/>
      <c r="K438" s="270"/>
      <c r="L438" s="270"/>
      <c r="M438" s="270"/>
    </row>
    <row r="439" spans="1:13" ht="12">
      <c r="A439" s="16" t="s">
        <v>292</v>
      </c>
      <c r="B439" s="16"/>
      <c r="G439" s="213"/>
      <c r="J439" s="59"/>
      <c r="K439" s="5"/>
      <c r="L439" s="5"/>
      <c r="M439" s="207" t="s">
        <v>397</v>
      </c>
    </row>
    <row r="440" spans="1:13" ht="12">
      <c r="A440" s="21" t="s">
        <v>1</v>
      </c>
      <c r="B440" s="21"/>
      <c r="C440" s="21" t="s">
        <v>1</v>
      </c>
      <c r="D440" s="21" t="s">
        <v>1</v>
      </c>
      <c r="E440" s="21" t="s">
        <v>1</v>
      </c>
      <c r="F440" s="21"/>
      <c r="G440" s="21" t="s">
        <v>1</v>
      </c>
      <c r="H440" s="21" t="s">
        <v>1</v>
      </c>
      <c r="I440" s="21" t="s">
        <v>1</v>
      </c>
      <c r="J440" s="21" t="s">
        <v>1</v>
      </c>
      <c r="K440" s="21" t="s">
        <v>1</v>
      </c>
      <c r="L440" s="21"/>
      <c r="M440" s="21" t="s">
        <v>1</v>
      </c>
    </row>
    <row r="441" spans="1:13" ht="12">
      <c r="A441" s="24" t="s">
        <v>2</v>
      </c>
      <c r="B441" s="24"/>
      <c r="E441" s="24" t="s">
        <v>2</v>
      </c>
      <c r="F441" s="24"/>
      <c r="G441" s="130"/>
      <c r="H441" s="130" t="s">
        <v>249</v>
      </c>
      <c r="I441" s="142"/>
      <c r="J441" s="130" t="s">
        <v>251</v>
      </c>
      <c r="K441" s="68"/>
      <c r="L441" s="68"/>
      <c r="M441" s="130" t="s">
        <v>260</v>
      </c>
    </row>
    <row r="442" spans="1:13" ht="12">
      <c r="A442" s="24" t="s">
        <v>4</v>
      </c>
      <c r="B442" s="24"/>
      <c r="C442" s="28" t="s">
        <v>20</v>
      </c>
      <c r="E442" s="24" t="s">
        <v>4</v>
      </c>
      <c r="F442" s="24"/>
      <c r="G442" s="149"/>
      <c r="H442" s="130" t="s">
        <v>7</v>
      </c>
      <c r="I442" s="149"/>
      <c r="J442" s="130" t="s">
        <v>7</v>
      </c>
      <c r="K442" s="149"/>
      <c r="L442" s="149"/>
      <c r="M442" s="130" t="s">
        <v>8</v>
      </c>
    </row>
    <row r="443" spans="1:13" ht="12">
      <c r="A443" s="21" t="s">
        <v>1</v>
      </c>
      <c r="B443" s="21"/>
      <c r="C443" s="21" t="s">
        <v>1</v>
      </c>
      <c r="D443" s="21" t="s">
        <v>1</v>
      </c>
      <c r="E443" s="21" t="s">
        <v>1</v>
      </c>
      <c r="F443" s="21"/>
      <c r="G443" s="21" t="s">
        <v>1</v>
      </c>
      <c r="H443" s="21" t="s">
        <v>1</v>
      </c>
      <c r="I443" s="21" t="s">
        <v>1</v>
      </c>
      <c r="J443" s="21" t="s">
        <v>1</v>
      </c>
      <c r="K443" s="21" t="s">
        <v>1</v>
      </c>
      <c r="L443" s="21"/>
      <c r="M443" s="143" t="s">
        <v>1</v>
      </c>
    </row>
    <row r="444" spans="1:13" ht="12">
      <c r="A444" s="7">
        <v>1</v>
      </c>
      <c r="C444" s="7" t="s">
        <v>406</v>
      </c>
      <c r="E444" s="50">
        <v>1</v>
      </c>
      <c r="F444" s="50"/>
      <c r="H444" s="9">
        <f>31216968</f>
        <v>31216968</v>
      </c>
      <c r="J444" s="9">
        <f>37509194</f>
        <v>37509194</v>
      </c>
      <c r="M444" s="189">
        <f>44979003</f>
        <v>44979003</v>
      </c>
    </row>
    <row r="445" spans="1:13" ht="12">
      <c r="A445" s="7">
        <v>2</v>
      </c>
      <c r="E445" s="50">
        <v>2</v>
      </c>
      <c r="F445" s="50"/>
      <c r="H445" s="9"/>
      <c r="J445" s="9"/>
      <c r="M445" s="9"/>
    </row>
    <row r="446" spans="1:13" ht="12">
      <c r="A446" s="7">
        <v>3</v>
      </c>
      <c r="E446" s="50">
        <v>3</v>
      </c>
      <c r="F446" s="50"/>
      <c r="J446" s="9"/>
      <c r="M446" s="9"/>
    </row>
    <row r="447" spans="1:13" ht="12">
      <c r="A447" s="7">
        <v>4</v>
      </c>
      <c r="E447" s="50">
        <v>4</v>
      </c>
      <c r="F447" s="50"/>
      <c r="M447" s="9"/>
    </row>
    <row r="448" spans="1:13" ht="12">
      <c r="A448" s="7">
        <v>5</v>
      </c>
      <c r="E448" s="50">
        <v>5</v>
      </c>
      <c r="F448" s="50"/>
      <c r="M448" s="9"/>
    </row>
    <row r="449" spans="1:13" ht="12">
      <c r="A449" s="7">
        <v>6</v>
      </c>
      <c r="E449" s="50">
        <v>6</v>
      </c>
      <c r="F449" s="50"/>
      <c r="M449" s="9"/>
    </row>
    <row r="450" spans="1:13" ht="12">
      <c r="A450" s="7">
        <v>7</v>
      </c>
      <c r="E450" s="50">
        <v>7</v>
      </c>
      <c r="F450" s="50"/>
      <c r="M450" s="9"/>
    </row>
    <row r="451" spans="1:13" ht="12">
      <c r="A451" s="7">
        <v>8</v>
      </c>
      <c r="E451" s="50">
        <v>8</v>
      </c>
      <c r="F451" s="50"/>
      <c r="M451" s="9"/>
    </row>
    <row r="452" spans="1:13" ht="12">
      <c r="A452" s="7">
        <v>9</v>
      </c>
      <c r="E452" s="50">
        <v>9</v>
      </c>
      <c r="F452" s="50"/>
      <c r="M452" s="9"/>
    </row>
    <row r="453" spans="1:13" ht="12">
      <c r="A453" s="7">
        <v>10</v>
      </c>
      <c r="E453" s="50">
        <v>10</v>
      </c>
      <c r="F453" s="50"/>
      <c r="M453" s="9"/>
    </row>
    <row r="454" spans="1:13" ht="12">
      <c r="A454" s="7">
        <v>11</v>
      </c>
      <c r="E454" s="50">
        <v>11</v>
      </c>
      <c r="F454" s="50"/>
      <c r="M454" s="9"/>
    </row>
    <row r="455" spans="1:13" ht="12">
      <c r="A455" s="7">
        <v>12</v>
      </c>
      <c r="E455" s="50">
        <v>12</v>
      </c>
      <c r="F455" s="50"/>
      <c r="M455" s="9"/>
    </row>
    <row r="456" spans="1:13" ht="12">
      <c r="A456" s="7">
        <v>13</v>
      </c>
      <c r="E456" s="50">
        <v>13</v>
      </c>
      <c r="F456" s="50"/>
      <c r="M456" s="9"/>
    </row>
    <row r="457" spans="1:13" ht="12">
      <c r="A457" s="7">
        <v>14</v>
      </c>
      <c r="E457" s="50">
        <v>14</v>
      </c>
      <c r="F457" s="50"/>
      <c r="M457" s="9"/>
    </row>
    <row r="458" spans="1:13" ht="12">
      <c r="A458" s="7">
        <v>15</v>
      </c>
      <c r="E458" s="50">
        <v>15</v>
      </c>
      <c r="F458" s="50"/>
      <c r="M458" s="9"/>
    </row>
    <row r="459" spans="1:13" ht="12">
      <c r="A459" s="7">
        <v>16</v>
      </c>
      <c r="E459" s="50">
        <v>16</v>
      </c>
      <c r="F459" s="50"/>
      <c r="M459" s="9"/>
    </row>
    <row r="460" spans="1:13" ht="12">
      <c r="A460" s="7">
        <v>17</v>
      </c>
      <c r="E460" s="50">
        <v>17</v>
      </c>
      <c r="F460" s="50"/>
      <c r="M460" s="9"/>
    </row>
    <row r="461" spans="1:13" ht="12">
      <c r="A461" s="7">
        <v>18</v>
      </c>
      <c r="E461" s="50">
        <v>18</v>
      </c>
      <c r="F461" s="50"/>
      <c r="M461" s="9"/>
    </row>
    <row r="462" spans="1:13" ht="12">
      <c r="A462" s="7">
        <v>19</v>
      </c>
      <c r="E462" s="50">
        <v>19</v>
      </c>
      <c r="F462" s="50"/>
      <c r="M462" s="9"/>
    </row>
    <row r="463" spans="1:13" ht="12">
      <c r="A463" s="7">
        <v>20</v>
      </c>
      <c r="E463" s="50">
        <v>20</v>
      </c>
      <c r="F463" s="50"/>
      <c r="M463" s="9"/>
    </row>
    <row r="464" spans="1:13" ht="12">
      <c r="A464" s="7">
        <v>21</v>
      </c>
      <c r="E464" s="50">
        <v>21</v>
      </c>
      <c r="F464" s="50"/>
      <c r="M464" s="9"/>
    </row>
    <row r="465" spans="1:13" ht="12">
      <c r="A465" s="7">
        <v>22</v>
      </c>
      <c r="E465" s="50">
        <v>22</v>
      </c>
      <c r="F465" s="50"/>
      <c r="M465" s="9"/>
    </row>
    <row r="466" spans="1:13" ht="12">
      <c r="A466" s="7">
        <v>23</v>
      </c>
      <c r="E466" s="50">
        <v>23</v>
      </c>
      <c r="F466" s="50"/>
      <c r="M466" s="9"/>
    </row>
    <row r="467" spans="1:13" ht="12">
      <c r="A467" s="7">
        <v>24</v>
      </c>
      <c r="E467" s="50">
        <v>24</v>
      </c>
      <c r="F467" s="50"/>
      <c r="M467" s="9"/>
    </row>
    <row r="468" spans="5:13" ht="12">
      <c r="E468" s="50"/>
      <c r="F468" s="50"/>
      <c r="G468" s="90" t="s">
        <v>1</v>
      </c>
      <c r="H468" s="90" t="s">
        <v>1</v>
      </c>
      <c r="I468" s="90" t="s">
        <v>1</v>
      </c>
      <c r="J468" s="90" t="s">
        <v>1</v>
      </c>
      <c r="K468" s="90" t="s">
        <v>1</v>
      </c>
      <c r="L468" s="90"/>
      <c r="M468" s="23" t="s">
        <v>1</v>
      </c>
    </row>
    <row r="469" spans="1:13" ht="12">
      <c r="A469" s="7">
        <v>25</v>
      </c>
      <c r="C469" s="7" t="s">
        <v>407</v>
      </c>
      <c r="E469" s="50">
        <v>25</v>
      </c>
      <c r="F469" s="50"/>
      <c r="H469" s="9">
        <f>SUM(H444:H467)</f>
        <v>31216968</v>
      </c>
      <c r="J469" s="9">
        <f>SUM(J444:J467)</f>
        <v>37509194</v>
      </c>
      <c r="M469" s="9">
        <f>SUM(M444:M467)</f>
        <v>44979003</v>
      </c>
    </row>
    <row r="470" spans="5:13" ht="12">
      <c r="E470" s="50"/>
      <c r="F470" s="50"/>
      <c r="G470" s="90" t="s">
        <v>1</v>
      </c>
      <c r="H470" s="90" t="s">
        <v>1</v>
      </c>
      <c r="I470" s="90" t="s">
        <v>1</v>
      </c>
      <c r="J470" s="90" t="s">
        <v>1</v>
      </c>
      <c r="K470" s="90" t="s">
        <v>1</v>
      </c>
      <c r="L470" s="90"/>
      <c r="M470" s="90" t="s">
        <v>1</v>
      </c>
    </row>
    <row r="471" spans="5:13" ht="12">
      <c r="E471" s="50"/>
      <c r="F471" s="50"/>
      <c r="G471" s="5"/>
      <c r="H471" s="59"/>
      <c r="I471" s="5"/>
      <c r="J471" s="59"/>
      <c r="K471" s="5"/>
      <c r="L471" s="5"/>
      <c r="M471" s="59"/>
    </row>
    <row r="472" spans="1:13" ht="12">
      <c r="A472" s="16" t="s">
        <v>320</v>
      </c>
      <c r="B472" s="16"/>
      <c r="E472" s="50"/>
      <c r="F472" s="50"/>
      <c r="G472" s="5"/>
      <c r="H472" s="59"/>
      <c r="I472" s="5"/>
      <c r="J472" s="59"/>
      <c r="K472" s="5"/>
      <c r="L472" s="5"/>
      <c r="M472" s="146" t="s">
        <v>22</v>
      </c>
    </row>
    <row r="473" spans="1:13" ht="12">
      <c r="A473" s="268" t="s">
        <v>148</v>
      </c>
      <c r="B473" s="268"/>
      <c r="C473" s="268"/>
      <c r="D473" s="268"/>
      <c r="E473" s="268"/>
      <c r="F473" s="268"/>
      <c r="G473" s="268"/>
      <c r="H473" s="268"/>
      <c r="I473" s="268"/>
      <c r="J473" s="268"/>
      <c r="K473" s="268"/>
      <c r="L473" s="268"/>
      <c r="M473" s="268"/>
    </row>
    <row r="474" spans="1:13" ht="12">
      <c r="A474" s="16" t="s">
        <v>292</v>
      </c>
      <c r="B474" s="16"/>
      <c r="G474" s="5"/>
      <c r="H474" s="59"/>
      <c r="I474" s="34"/>
      <c r="J474" s="5"/>
      <c r="K474" s="5"/>
      <c r="L474" s="5"/>
      <c r="M474" s="207" t="s">
        <v>293</v>
      </c>
    </row>
    <row r="475" spans="1:13" ht="12">
      <c r="A475" s="21" t="s">
        <v>1</v>
      </c>
      <c r="B475" s="21"/>
      <c r="C475" s="21" t="s">
        <v>1</v>
      </c>
      <c r="D475" s="21" t="s">
        <v>1</v>
      </c>
      <c r="E475" s="21" t="s">
        <v>1</v>
      </c>
      <c r="F475" s="21"/>
      <c r="G475" s="21" t="s">
        <v>1</v>
      </c>
      <c r="H475" s="21" t="s">
        <v>1</v>
      </c>
      <c r="I475" s="21" t="s">
        <v>1</v>
      </c>
      <c r="J475" s="21" t="s">
        <v>1</v>
      </c>
      <c r="K475" s="21" t="s">
        <v>1</v>
      </c>
      <c r="L475" s="21"/>
      <c r="M475" s="21" t="s">
        <v>1</v>
      </c>
    </row>
    <row r="476" spans="1:13" ht="12">
      <c r="A476" s="24" t="s">
        <v>2</v>
      </c>
      <c r="B476" s="24"/>
      <c r="E476" s="24" t="s">
        <v>2</v>
      </c>
      <c r="F476" s="24"/>
      <c r="G476" s="149"/>
      <c r="H476" s="130" t="s">
        <v>249</v>
      </c>
      <c r="I476" s="142"/>
      <c r="J476" s="130" t="s">
        <v>251</v>
      </c>
      <c r="K476" s="68"/>
      <c r="L476" s="68"/>
      <c r="M476" s="130" t="s">
        <v>260</v>
      </c>
    </row>
    <row r="477" spans="1:13" ht="12">
      <c r="A477" s="24" t="s">
        <v>4</v>
      </c>
      <c r="B477" s="24"/>
      <c r="C477" s="28" t="s">
        <v>20</v>
      </c>
      <c r="E477" s="24" t="s">
        <v>4</v>
      </c>
      <c r="F477" s="24"/>
      <c r="G477" s="149" t="s">
        <v>408</v>
      </c>
      <c r="H477" s="130" t="s">
        <v>7</v>
      </c>
      <c r="I477" s="149" t="s">
        <v>408</v>
      </c>
      <c r="J477" s="130" t="s">
        <v>7</v>
      </c>
      <c r="L477" s="149" t="s">
        <v>408</v>
      </c>
      <c r="M477" s="130" t="s">
        <v>8</v>
      </c>
    </row>
    <row r="478" spans="1:13" ht="12">
      <c r="A478" s="21" t="s">
        <v>1</v>
      </c>
      <c r="B478" s="21"/>
      <c r="C478" s="21" t="s">
        <v>1</v>
      </c>
      <c r="D478" s="21" t="s">
        <v>1</v>
      </c>
      <c r="E478" s="21" t="s">
        <v>1</v>
      </c>
      <c r="F478" s="21"/>
      <c r="G478" s="21" t="s">
        <v>1</v>
      </c>
      <c r="H478" s="21" t="s">
        <v>1</v>
      </c>
      <c r="I478" s="21" t="s">
        <v>1</v>
      </c>
      <c r="J478" s="21" t="s">
        <v>1</v>
      </c>
      <c r="L478" s="21" t="s">
        <v>1</v>
      </c>
      <c r="M478" s="143" t="s">
        <v>1</v>
      </c>
    </row>
    <row r="479" spans="1:13" ht="12">
      <c r="A479" s="11">
        <v>1</v>
      </c>
      <c r="B479" s="11"/>
      <c r="C479" s="12" t="s">
        <v>409</v>
      </c>
      <c r="E479" s="11">
        <v>1</v>
      </c>
      <c r="F479" s="11"/>
      <c r="G479" s="151">
        <f>1293.5</f>
        <v>1293.5</v>
      </c>
      <c r="H479" s="88">
        <f>110581635.9</f>
        <v>110581635.9</v>
      </c>
      <c r="I479" s="151">
        <f>1347.2</f>
        <v>1347.2</v>
      </c>
      <c r="J479" s="88">
        <f>121981720.21</f>
        <v>121981720.21</v>
      </c>
      <c r="L479" s="151">
        <f>1408.5</f>
        <v>1408.5</v>
      </c>
      <c r="M479" s="88">
        <f>134294036</f>
        <v>134294036</v>
      </c>
    </row>
    <row r="480" spans="1:13" ht="12">
      <c r="A480" s="11">
        <v>2</v>
      </c>
      <c r="B480" s="11"/>
      <c r="C480" s="12" t="s">
        <v>410</v>
      </c>
      <c r="E480" s="11">
        <v>2</v>
      </c>
      <c r="F480" s="11"/>
      <c r="G480" s="151"/>
      <c r="H480" s="88">
        <f>25711599.58</f>
        <v>25711599.58</v>
      </c>
      <c r="I480" s="151"/>
      <c r="J480" s="88">
        <f>32141182.83</f>
        <v>32141182.83</v>
      </c>
      <c r="L480" s="151"/>
      <c r="M480" s="88">
        <f>35968462</f>
        <v>35968462</v>
      </c>
    </row>
    <row r="481" spans="1:13" ht="12">
      <c r="A481" s="11">
        <v>3</v>
      </c>
      <c r="B481" s="11"/>
      <c r="C481" s="12" t="s">
        <v>411</v>
      </c>
      <c r="E481" s="11">
        <v>3</v>
      </c>
      <c r="F481" s="11"/>
      <c r="G481" s="151">
        <f>405.7</f>
        <v>405.7</v>
      </c>
      <c r="H481" s="88">
        <f>14428851.57+11250958.51</f>
        <v>25679810.08</v>
      </c>
      <c r="I481" s="151">
        <f>420.1</f>
        <v>420.1</v>
      </c>
      <c r="J481" s="88">
        <f>16051553.77+12059676.34</f>
        <v>28111230.11</v>
      </c>
      <c r="L481" s="151">
        <f>423.9</f>
        <v>423.9</v>
      </c>
      <c r="M481" s="88">
        <f>29656940</f>
        <v>29656940</v>
      </c>
    </row>
    <row r="482" spans="1:13" ht="12">
      <c r="A482" s="11">
        <v>4</v>
      </c>
      <c r="B482" s="11"/>
      <c r="C482" s="12" t="s">
        <v>412</v>
      </c>
      <c r="E482" s="11">
        <v>4</v>
      </c>
      <c r="F482" s="11"/>
      <c r="G482" s="68">
        <f>SUM(G479,G481)</f>
        <v>1699.2</v>
      </c>
      <c r="H482" s="59">
        <f>SUM(H479:H481)</f>
        <v>161973045.56</v>
      </c>
      <c r="I482" s="68">
        <f>SUM(I479,I481)</f>
        <v>1767.3000000000002</v>
      </c>
      <c r="J482" s="59">
        <f>SUM(J479:J481)</f>
        <v>182234133.14999998</v>
      </c>
      <c r="L482" s="68">
        <f>SUM(L479,L481)</f>
        <v>1832.4</v>
      </c>
      <c r="M482" s="59">
        <f>SUM(M479:M481)</f>
        <v>199919438</v>
      </c>
    </row>
    <row r="483" spans="1:13" ht="12">
      <c r="A483" s="11">
        <v>5</v>
      </c>
      <c r="B483" s="11"/>
      <c r="E483" s="11">
        <v>5</v>
      </c>
      <c r="F483" s="11"/>
      <c r="G483" s="68"/>
      <c r="H483" s="59"/>
      <c r="I483" s="68"/>
      <c r="J483" s="59"/>
      <c r="L483" s="153"/>
      <c r="M483" s="59"/>
    </row>
    <row r="484" spans="1:13" ht="12">
      <c r="A484" s="11">
        <v>6</v>
      </c>
      <c r="B484" s="11"/>
      <c r="C484" s="12" t="s">
        <v>24</v>
      </c>
      <c r="E484" s="11">
        <v>6</v>
      </c>
      <c r="F484" s="11"/>
      <c r="G484" s="151">
        <f>66.5</f>
        <v>66.5</v>
      </c>
      <c r="H484" s="88">
        <f>2413791.65+1881945.09</f>
        <v>4295736.74</v>
      </c>
      <c r="I484" s="151">
        <f>79.8</f>
        <v>79.8</v>
      </c>
      <c r="J484" s="88">
        <f>2881135.46+2164994.97</f>
        <v>5046130.43</v>
      </c>
      <c r="L484" s="151">
        <f>84.2</f>
        <v>84.2</v>
      </c>
      <c r="M484" s="88">
        <f>5420189</f>
        <v>5420189</v>
      </c>
    </row>
    <row r="485" spans="1:13" ht="12">
      <c r="A485" s="11">
        <v>7</v>
      </c>
      <c r="B485" s="11"/>
      <c r="C485" s="12" t="s">
        <v>25</v>
      </c>
      <c r="E485" s="11">
        <v>7</v>
      </c>
      <c r="F485" s="11"/>
      <c r="G485" s="151">
        <f>275.4</f>
        <v>275.4</v>
      </c>
      <c r="H485" s="88">
        <f>12444995.89</f>
        <v>12444995.89</v>
      </c>
      <c r="I485" s="151">
        <f>285.8</f>
        <v>285.8</v>
      </c>
      <c r="J485" s="88">
        <f>13570540.81</f>
        <v>13570540.81</v>
      </c>
      <c r="L485" s="151">
        <f>288.4</f>
        <v>288.4</v>
      </c>
      <c r="M485" s="88">
        <f>14420669</f>
        <v>14420669</v>
      </c>
    </row>
    <row r="486" spans="1:13" ht="12">
      <c r="A486" s="11">
        <v>8</v>
      </c>
      <c r="B486" s="11"/>
      <c r="C486" s="12" t="s">
        <v>26</v>
      </c>
      <c r="E486" s="11">
        <v>8</v>
      </c>
      <c r="F486" s="11"/>
      <c r="G486" s="151"/>
      <c r="H486" s="88">
        <f>2602631.22</f>
        <v>2602631.22</v>
      </c>
      <c r="I486" s="151"/>
      <c r="J486" s="88">
        <f>3694351.78</f>
        <v>3694351.78</v>
      </c>
      <c r="L486" s="151"/>
      <c r="M486" s="88">
        <f>3989622</f>
        <v>3989622</v>
      </c>
    </row>
    <row r="487" spans="1:13" ht="12">
      <c r="A487" s="11">
        <v>9</v>
      </c>
      <c r="B487" s="11"/>
      <c r="C487" s="12" t="s">
        <v>27</v>
      </c>
      <c r="E487" s="11">
        <v>9</v>
      </c>
      <c r="F487" s="11"/>
      <c r="G487" s="68">
        <f>SUM(G484,G485)</f>
        <v>341.9</v>
      </c>
      <c r="H487" s="59">
        <f>SUM(H484:H486)</f>
        <v>19343363.85</v>
      </c>
      <c r="I487" s="68">
        <f>SUM(I484,I485)</f>
        <v>365.6</v>
      </c>
      <c r="J487" s="59">
        <f>SUM(J484:J486)</f>
        <v>22311023.020000003</v>
      </c>
      <c r="L487" s="68">
        <f>SUM(L484,L485)</f>
        <v>372.59999999999997</v>
      </c>
      <c r="M487" s="59">
        <f>SUM(M484:M486)</f>
        <v>23830480</v>
      </c>
    </row>
    <row r="488" spans="1:13" ht="12">
      <c r="A488" s="11">
        <v>10</v>
      </c>
      <c r="B488" s="11"/>
      <c r="E488" s="11">
        <v>10</v>
      </c>
      <c r="F488" s="11"/>
      <c r="G488" s="68"/>
      <c r="H488" s="59"/>
      <c r="I488" s="68"/>
      <c r="J488" s="59"/>
      <c r="L488" s="68"/>
      <c r="M488" s="59"/>
    </row>
    <row r="489" spans="1:13" ht="12">
      <c r="A489" s="11">
        <v>11</v>
      </c>
      <c r="B489" s="11"/>
      <c r="C489" s="12" t="s">
        <v>28</v>
      </c>
      <c r="E489" s="11">
        <v>11</v>
      </c>
      <c r="F489" s="11"/>
      <c r="G489" s="68">
        <f aca="true" t="shared" si="28" ref="G489:M489">SUM(G482,G487)</f>
        <v>2041.1</v>
      </c>
      <c r="H489" s="59">
        <f t="shared" si="28"/>
        <v>181316409.41</v>
      </c>
      <c r="I489" s="68">
        <f t="shared" si="28"/>
        <v>2132.9</v>
      </c>
      <c r="J489" s="59">
        <f t="shared" si="28"/>
        <v>204545156.17</v>
      </c>
      <c r="L489" s="68">
        <f>SUM(L482,L487)</f>
        <v>2205</v>
      </c>
      <c r="M489" s="59">
        <f t="shared" si="28"/>
        <v>223749918</v>
      </c>
    </row>
    <row r="490" spans="1:13" ht="12">
      <c r="A490" s="11">
        <v>12</v>
      </c>
      <c r="B490" s="11"/>
      <c r="E490" s="11">
        <v>12</v>
      </c>
      <c r="F490" s="11"/>
      <c r="H490" s="59"/>
      <c r="J490" s="59"/>
      <c r="M490" s="59"/>
    </row>
    <row r="491" spans="1:13" ht="12">
      <c r="A491" s="11">
        <v>13</v>
      </c>
      <c r="B491" s="11"/>
      <c r="C491" s="12" t="s">
        <v>413</v>
      </c>
      <c r="E491" s="11">
        <v>13</v>
      </c>
      <c r="F491" s="11"/>
      <c r="G491" s="151">
        <f>97.7</f>
        <v>97.7</v>
      </c>
      <c r="H491" s="88">
        <f>1572330.2+6297.13</f>
        <v>1578627.3299999998</v>
      </c>
      <c r="I491" s="151">
        <f>86.9</f>
        <v>86.9</v>
      </c>
      <c r="J491" s="88">
        <f>1716405.56+6875.87</f>
        <v>1723281.4300000002</v>
      </c>
      <c r="L491" s="151">
        <f>86.8</f>
        <v>86.8</v>
      </c>
      <c r="M491" s="88">
        <f>1825032</f>
        <v>1825032</v>
      </c>
    </row>
    <row r="492" spans="1:13" ht="12">
      <c r="A492" s="11">
        <v>14</v>
      </c>
      <c r="B492" s="11"/>
      <c r="E492" s="11">
        <v>14</v>
      </c>
      <c r="F492" s="11"/>
      <c r="G492" s="13"/>
      <c r="H492" s="88"/>
      <c r="I492" s="13"/>
      <c r="J492" s="88"/>
      <c r="K492" s="13"/>
      <c r="L492" s="13"/>
      <c r="M492" s="88"/>
    </row>
    <row r="493" spans="1:13" ht="12">
      <c r="A493" s="11">
        <v>15</v>
      </c>
      <c r="B493" s="11"/>
      <c r="C493" s="12" t="s">
        <v>30</v>
      </c>
      <c r="E493" s="11">
        <v>15</v>
      </c>
      <c r="F493" s="11"/>
      <c r="G493" s="151"/>
      <c r="H493" s="88">
        <f>2447378.16</f>
        <v>2447378.16</v>
      </c>
      <c r="I493" s="151"/>
      <c r="J493" s="88">
        <f>2722133.93</f>
        <v>2722133.93</v>
      </c>
      <c r="K493" s="151"/>
      <c r="L493" s="151"/>
      <c r="M493" s="88">
        <f>2761314</f>
        <v>2761314</v>
      </c>
    </row>
    <row r="494" spans="1:13" ht="12">
      <c r="A494" s="11">
        <v>16</v>
      </c>
      <c r="B494" s="11"/>
      <c r="C494" s="12" t="s">
        <v>31</v>
      </c>
      <c r="E494" s="11">
        <v>16</v>
      </c>
      <c r="F494" s="11"/>
      <c r="G494" s="151"/>
      <c r="H494" s="88">
        <v>19586484.32</v>
      </c>
      <c r="I494" s="151"/>
      <c r="J494" s="88">
        <v>16038423.340000002</v>
      </c>
      <c r="K494" s="151"/>
      <c r="L494" s="151"/>
      <c r="M494" s="88">
        <v>16912125</v>
      </c>
    </row>
    <row r="495" spans="1:13" ht="12">
      <c r="A495" s="11"/>
      <c r="B495" s="11"/>
      <c r="C495" s="12"/>
      <c r="E495" s="11"/>
      <c r="F495" s="11"/>
      <c r="G495" s="151"/>
      <c r="H495" s="88"/>
      <c r="I495" s="151"/>
      <c r="J495" s="88"/>
      <c r="K495" s="151"/>
      <c r="L495" s="151"/>
      <c r="M495" s="88"/>
    </row>
    <row r="496" spans="1:13" ht="12">
      <c r="A496" s="11">
        <v>17</v>
      </c>
      <c r="B496" s="11"/>
      <c r="C496" s="12" t="s">
        <v>414</v>
      </c>
      <c r="E496" s="11">
        <v>17</v>
      </c>
      <c r="F496" s="11"/>
      <c r="G496" s="151"/>
      <c r="H496" s="88"/>
      <c r="I496" s="151"/>
      <c r="J496" s="88"/>
      <c r="K496" s="154"/>
      <c r="L496" s="154"/>
      <c r="M496" s="88"/>
    </row>
    <row r="497" spans="1:13" ht="12">
      <c r="A497" s="11">
        <v>18</v>
      </c>
      <c r="B497" s="11"/>
      <c r="C497" s="7" t="s">
        <v>415</v>
      </c>
      <c r="E497" s="11">
        <v>18</v>
      </c>
      <c r="F497" s="11"/>
      <c r="G497" s="151"/>
      <c r="H497" s="88"/>
      <c r="I497" s="151"/>
      <c r="J497" s="88"/>
      <c r="K497" s="151"/>
      <c r="L497" s="151"/>
      <c r="M497" s="88"/>
    </row>
    <row r="498" spans="1:13" ht="12">
      <c r="A498" s="11">
        <v>19</v>
      </c>
      <c r="B498" s="11"/>
      <c r="E498" s="7">
        <v>19</v>
      </c>
      <c r="G498" s="90"/>
      <c r="H498" s="90"/>
      <c r="I498" s="90"/>
      <c r="J498" s="90"/>
      <c r="K498" s="90"/>
      <c r="L498" s="90"/>
      <c r="M498" s="90"/>
    </row>
    <row r="499" spans="1:13" ht="12">
      <c r="A499" s="11">
        <v>20</v>
      </c>
      <c r="B499" s="11"/>
      <c r="E499" s="11">
        <v>20</v>
      </c>
      <c r="F499" s="11"/>
      <c r="G499" s="90"/>
      <c r="H499" s="90"/>
      <c r="I499" s="90"/>
      <c r="J499" s="90"/>
      <c r="K499" s="90"/>
      <c r="L499" s="90"/>
      <c r="M499" s="90"/>
    </row>
    <row r="500" spans="1:13" ht="12">
      <c r="A500" s="11">
        <v>21</v>
      </c>
      <c r="B500" s="11"/>
      <c r="E500" s="11">
        <v>21</v>
      </c>
      <c r="F500" s="11"/>
      <c r="G500" s="90"/>
      <c r="H500" s="59"/>
      <c r="I500" s="90"/>
      <c r="J500" s="59"/>
      <c r="K500" s="90"/>
      <c r="L500" s="90"/>
      <c r="M500" s="59"/>
    </row>
    <row r="501" spans="1:13" ht="12">
      <c r="A501" s="11">
        <v>22</v>
      </c>
      <c r="B501" s="11"/>
      <c r="E501" s="11">
        <v>22</v>
      </c>
      <c r="F501" s="11"/>
      <c r="G501" s="68"/>
      <c r="H501" s="59"/>
      <c r="I501" s="68"/>
      <c r="J501" s="59"/>
      <c r="K501" s="68"/>
      <c r="L501" s="68"/>
      <c r="M501" s="59"/>
    </row>
    <row r="502" spans="1:13" ht="12">
      <c r="A502" s="11">
        <v>23</v>
      </c>
      <c r="B502" s="11"/>
      <c r="D502" s="81"/>
      <c r="E502" s="11">
        <v>23</v>
      </c>
      <c r="F502" s="11"/>
      <c r="H502" s="59"/>
      <c r="J502" s="59"/>
      <c r="M502" s="59"/>
    </row>
    <row r="503" spans="1:13" ht="12">
      <c r="A503" s="11">
        <v>24</v>
      </c>
      <c r="B503" s="11"/>
      <c r="D503" s="81"/>
      <c r="E503" s="11">
        <v>24</v>
      </c>
      <c r="F503" s="11"/>
      <c r="H503" s="59"/>
      <c r="J503" s="59"/>
      <c r="M503" s="59"/>
    </row>
    <row r="504" spans="7:13" ht="12">
      <c r="G504" s="90" t="s">
        <v>1</v>
      </c>
      <c r="H504" s="90" t="s">
        <v>1</v>
      </c>
      <c r="I504" s="90" t="s">
        <v>1</v>
      </c>
      <c r="J504" s="90" t="s">
        <v>1</v>
      </c>
      <c r="L504" s="90" t="s">
        <v>1</v>
      </c>
      <c r="M504" s="90" t="s">
        <v>1</v>
      </c>
    </row>
    <row r="505" spans="1:13" ht="12">
      <c r="A505" s="11">
        <v>25</v>
      </c>
      <c r="B505" s="11"/>
      <c r="C505" s="12" t="s">
        <v>416</v>
      </c>
      <c r="E505" s="11">
        <v>25</v>
      </c>
      <c r="F505" s="11"/>
      <c r="G505" s="17">
        <f>G489</f>
        <v>2041.1</v>
      </c>
      <c r="H505" s="55">
        <f>SUM(H489:H503)</f>
        <v>204928899.22</v>
      </c>
      <c r="I505" s="17">
        <f>I489</f>
        <v>2132.9</v>
      </c>
      <c r="J505" s="55">
        <f>SUM(J489:J503)</f>
        <v>225028994.87</v>
      </c>
      <c r="L505" s="17">
        <f>L489</f>
        <v>2205</v>
      </c>
      <c r="M505" s="59">
        <f>SUM(M489:M503)</f>
        <v>245248389</v>
      </c>
    </row>
    <row r="506" spans="1:13" ht="12">
      <c r="A506" s="11"/>
      <c r="B506" s="11"/>
      <c r="C506" s="12"/>
      <c r="E506" s="11"/>
      <c r="F506" s="11"/>
      <c r="G506" s="90" t="s">
        <v>1</v>
      </c>
      <c r="H506" s="90" t="s">
        <v>1</v>
      </c>
      <c r="I506" s="90" t="s">
        <v>1</v>
      </c>
      <c r="J506" s="90" t="s">
        <v>1</v>
      </c>
      <c r="L506" s="90" t="s">
        <v>1</v>
      </c>
      <c r="M506" s="90" t="s">
        <v>1</v>
      </c>
    </row>
    <row r="507" spans="1:6" ht="12">
      <c r="A507" s="12" t="s">
        <v>417</v>
      </c>
      <c r="B507" s="12"/>
      <c r="E507" s="50"/>
      <c r="F507" s="50"/>
    </row>
    <row r="508" spans="1:8" ht="12">
      <c r="A508" s="7" t="s">
        <v>418</v>
      </c>
      <c r="H508" s="9"/>
    </row>
    <row r="510" spans="1:13" ht="12">
      <c r="A510" s="16" t="s">
        <v>320</v>
      </c>
      <c r="B510" s="16"/>
      <c r="E510" s="50"/>
      <c r="F510" s="50"/>
      <c r="G510" s="5"/>
      <c r="H510" s="59"/>
      <c r="I510" s="5"/>
      <c r="J510" s="59"/>
      <c r="K510" s="5"/>
      <c r="L510" s="5"/>
      <c r="M510" s="146" t="s">
        <v>33</v>
      </c>
    </row>
    <row r="511" spans="1:13" ht="12">
      <c r="A511" s="268" t="s">
        <v>149</v>
      </c>
      <c r="B511" s="268"/>
      <c r="C511" s="268"/>
      <c r="D511" s="268"/>
      <c r="E511" s="268"/>
      <c r="F511" s="268"/>
      <c r="G511" s="268"/>
      <c r="H511" s="268"/>
      <c r="I511" s="268"/>
      <c r="J511" s="268"/>
      <c r="K511" s="268"/>
      <c r="L511" s="268"/>
      <c r="M511" s="268"/>
    </row>
    <row r="512" spans="1:13" ht="12">
      <c r="A512" s="16" t="s">
        <v>292</v>
      </c>
      <c r="B512" s="16"/>
      <c r="G512" s="5"/>
      <c r="H512" s="34"/>
      <c r="I512" s="92"/>
      <c r="J512" s="210"/>
      <c r="K512" s="5"/>
      <c r="L512" s="5"/>
      <c r="M512" s="207" t="s">
        <v>293</v>
      </c>
    </row>
    <row r="513" spans="1:13" ht="12">
      <c r="A513" s="21" t="s">
        <v>1</v>
      </c>
      <c r="B513" s="21"/>
      <c r="C513" s="21" t="s">
        <v>1</v>
      </c>
      <c r="D513" s="21" t="s">
        <v>1</v>
      </c>
      <c r="E513" s="21" t="s">
        <v>1</v>
      </c>
      <c r="F513" s="21"/>
      <c r="G513" s="21" t="s">
        <v>1</v>
      </c>
      <c r="H513" s="21" t="s">
        <v>1</v>
      </c>
      <c r="I513" s="21" t="s">
        <v>1</v>
      </c>
      <c r="J513" s="21" t="s">
        <v>1</v>
      </c>
      <c r="L513" s="21" t="s">
        <v>1</v>
      </c>
      <c r="M513" s="21" t="s">
        <v>1</v>
      </c>
    </row>
    <row r="514" spans="1:13" ht="12">
      <c r="A514" s="24" t="s">
        <v>2</v>
      </c>
      <c r="B514" s="24"/>
      <c r="E514" s="24" t="s">
        <v>2</v>
      </c>
      <c r="F514" s="24"/>
      <c r="G514" s="149"/>
      <c r="H514" s="130" t="s">
        <v>249</v>
      </c>
      <c r="I514" s="142"/>
      <c r="J514" s="130" t="s">
        <v>251</v>
      </c>
      <c r="L514" s="68"/>
      <c r="M514" s="130" t="s">
        <v>260</v>
      </c>
    </row>
    <row r="515" spans="1:13" ht="12">
      <c r="A515" s="24" t="s">
        <v>4</v>
      </c>
      <c r="B515" s="24"/>
      <c r="C515" s="28" t="s">
        <v>20</v>
      </c>
      <c r="E515" s="24" t="s">
        <v>4</v>
      </c>
      <c r="F515" s="24"/>
      <c r="G515" s="149" t="s">
        <v>6</v>
      </c>
      <c r="H515" s="130" t="s">
        <v>7</v>
      </c>
      <c r="I515" s="149" t="s">
        <v>6</v>
      </c>
      <c r="J515" s="130" t="s">
        <v>7</v>
      </c>
      <c r="L515" s="149" t="s">
        <v>6</v>
      </c>
      <c r="M515" s="130" t="s">
        <v>8</v>
      </c>
    </row>
    <row r="516" spans="1:13" ht="12">
      <c r="A516" s="21" t="s">
        <v>1</v>
      </c>
      <c r="B516" s="21"/>
      <c r="C516" s="21" t="s">
        <v>1</v>
      </c>
      <c r="D516" s="21" t="s">
        <v>1</v>
      </c>
      <c r="E516" s="21" t="s">
        <v>1</v>
      </c>
      <c r="F516" s="21"/>
      <c r="G516" s="21" t="s">
        <v>1</v>
      </c>
      <c r="H516" s="21" t="s">
        <v>1</v>
      </c>
      <c r="I516" s="21" t="s">
        <v>1</v>
      </c>
      <c r="J516" s="21" t="s">
        <v>1</v>
      </c>
      <c r="L516" s="21" t="s">
        <v>1</v>
      </c>
      <c r="M516" s="143" t="s">
        <v>1</v>
      </c>
    </row>
    <row r="517" spans="1:13" ht="12">
      <c r="A517" s="11">
        <v>1</v>
      </c>
      <c r="B517" s="11"/>
      <c r="C517" s="12" t="s">
        <v>419</v>
      </c>
      <c r="E517" s="11">
        <v>1</v>
      </c>
      <c r="F517" s="11"/>
      <c r="G517" s="151">
        <f>31.4</f>
        <v>31.4</v>
      </c>
      <c r="H517" s="88">
        <f>2714363.75</f>
        <v>2714363.75</v>
      </c>
      <c r="I517" s="151">
        <f>30.7</f>
        <v>30.7</v>
      </c>
      <c r="J517" s="88">
        <f>2786055.39</f>
        <v>2786055.39</v>
      </c>
      <c r="L517" s="151">
        <f>31.8</f>
        <v>31.8</v>
      </c>
      <c r="M517" s="88">
        <f>3041196</f>
        <v>3041196</v>
      </c>
    </row>
    <row r="518" spans="1:13" ht="12">
      <c r="A518" s="11">
        <v>2</v>
      </c>
      <c r="B518" s="11"/>
      <c r="C518" s="12" t="s">
        <v>37</v>
      </c>
      <c r="E518" s="11">
        <v>2</v>
      </c>
      <c r="F518" s="11"/>
      <c r="G518" s="151"/>
      <c r="H518" s="88">
        <f>822084.69</f>
        <v>822084.69</v>
      </c>
      <c r="I518" s="151"/>
      <c r="J518" s="88">
        <f>796420.71</f>
        <v>796420.71</v>
      </c>
      <c r="L518" s="151"/>
      <c r="M518" s="88">
        <f>842620</f>
        <v>842620</v>
      </c>
    </row>
    <row r="519" spans="1:13" ht="12">
      <c r="A519" s="11">
        <v>3</v>
      </c>
      <c r="B519" s="11"/>
      <c r="C519" s="12" t="s">
        <v>34</v>
      </c>
      <c r="E519" s="11">
        <v>3</v>
      </c>
      <c r="F519" s="11"/>
      <c r="G519" s="151">
        <f>8.6</f>
        <v>8.6</v>
      </c>
      <c r="H519" s="88">
        <f>324720.48+1603845.13</f>
        <v>1928565.6099999999</v>
      </c>
      <c r="I519" s="151">
        <f>11.9</f>
        <v>11.9</v>
      </c>
      <c r="J519" s="88">
        <f>430741.44+2282041.38</f>
        <v>2712782.82</v>
      </c>
      <c r="L519" s="151">
        <f>11.8</f>
        <v>11.8</v>
      </c>
      <c r="M519" s="88">
        <f>2900563</f>
        <v>2900563</v>
      </c>
    </row>
    <row r="520" spans="1:13" ht="12">
      <c r="A520" s="11">
        <v>4</v>
      </c>
      <c r="B520" s="11"/>
      <c r="C520" s="12" t="s">
        <v>23</v>
      </c>
      <c r="E520" s="11">
        <v>4</v>
      </c>
      <c r="F520" s="11"/>
      <c r="G520" s="68">
        <f>SUM(G517,G519)</f>
        <v>40</v>
      </c>
      <c r="H520" s="59">
        <f>SUM(H517:H519)</f>
        <v>5465014.05</v>
      </c>
      <c r="I520" s="68">
        <f>SUM(I517,I519)</f>
        <v>42.6</v>
      </c>
      <c r="J520" s="59">
        <f>SUM(J517:J519)</f>
        <v>6295258.92</v>
      </c>
      <c r="L520" s="68">
        <f>SUM(L517,L519)</f>
        <v>43.6</v>
      </c>
      <c r="M520" s="59">
        <f>SUM(M517:M519)</f>
        <v>6784379</v>
      </c>
    </row>
    <row r="521" spans="1:13" ht="12">
      <c r="A521" s="11">
        <v>5</v>
      </c>
      <c r="B521" s="11"/>
      <c r="E521" s="11">
        <v>5</v>
      </c>
      <c r="F521" s="11"/>
      <c r="G521" s="153"/>
      <c r="H521" s="59"/>
      <c r="I521" s="153"/>
      <c r="J521" s="59"/>
      <c r="L521" s="153"/>
      <c r="M521" s="59"/>
    </row>
    <row r="522" spans="1:13" ht="12">
      <c r="A522" s="11">
        <v>6</v>
      </c>
      <c r="B522" s="11"/>
      <c r="C522" s="12" t="s">
        <v>24</v>
      </c>
      <c r="E522" s="11">
        <v>6</v>
      </c>
      <c r="F522" s="11"/>
      <c r="G522" s="151">
        <f>1.6</f>
        <v>1.6</v>
      </c>
      <c r="H522" s="88">
        <f>58970.37+291280.87</f>
        <v>350251.24</v>
      </c>
      <c r="I522" s="151">
        <f>0.4</f>
        <v>0.4</v>
      </c>
      <c r="J522" s="88">
        <f>12840.98+67913.7</f>
        <v>80754.68</v>
      </c>
      <c r="L522" s="151">
        <f>0.5</f>
        <v>0.5</v>
      </c>
      <c r="M522" s="88">
        <f>218913</f>
        <v>218913</v>
      </c>
    </row>
    <row r="523" spans="1:13" ht="12">
      <c r="A523" s="11">
        <v>7</v>
      </c>
      <c r="B523" s="11"/>
      <c r="C523" s="12" t="s">
        <v>25</v>
      </c>
      <c r="E523" s="11">
        <v>7</v>
      </c>
      <c r="F523" s="11"/>
      <c r="G523" s="151">
        <f>6.2</f>
        <v>6.2</v>
      </c>
      <c r="H523" s="88">
        <f>308311.56</f>
        <v>308311.56</v>
      </c>
      <c r="I523" s="151">
        <f>5.9</f>
        <v>5.9</v>
      </c>
      <c r="J523" s="88">
        <f>307990.96</f>
        <v>307990.96</v>
      </c>
      <c r="L523" s="151">
        <f>6</f>
        <v>6</v>
      </c>
      <c r="M523" s="88">
        <f>326727</f>
        <v>326727</v>
      </c>
    </row>
    <row r="524" spans="1:13" ht="12">
      <c r="A524" s="11">
        <v>8</v>
      </c>
      <c r="B524" s="11"/>
      <c r="C524" s="12" t="s">
        <v>26</v>
      </c>
      <c r="E524" s="11">
        <v>8</v>
      </c>
      <c r="F524" s="11"/>
      <c r="G524" s="151"/>
      <c r="H524" s="88">
        <f>67181.32</f>
        <v>67181.32</v>
      </c>
      <c r="I524" s="151"/>
      <c r="J524" s="88">
        <f>83261.67</f>
        <v>83261.67</v>
      </c>
      <c r="L524" s="151"/>
      <c r="M524" s="88">
        <f>90021</f>
        <v>90021</v>
      </c>
    </row>
    <row r="525" spans="1:13" ht="12">
      <c r="A525" s="11">
        <v>9</v>
      </c>
      <c r="B525" s="11"/>
      <c r="C525" s="12" t="s">
        <v>27</v>
      </c>
      <c r="E525" s="11">
        <v>9</v>
      </c>
      <c r="F525" s="11"/>
      <c r="G525" s="68">
        <f>SUM(G522+G523)</f>
        <v>7.800000000000001</v>
      </c>
      <c r="H525" s="59">
        <f>SUM(H522:H524)</f>
        <v>725744.1200000001</v>
      </c>
      <c r="I525" s="68">
        <f>SUM(I522+I523)</f>
        <v>6.300000000000001</v>
      </c>
      <c r="J525" s="59">
        <f>SUM(J522:J524)</f>
        <v>472007.31</v>
      </c>
      <c r="L525" s="68">
        <f>SUM(L522+L523)</f>
        <v>6.5</v>
      </c>
      <c r="M525" s="59">
        <f>SUM(M522:M524)</f>
        <v>635661</v>
      </c>
    </row>
    <row r="526" spans="1:13" ht="12">
      <c r="A526" s="11">
        <v>10</v>
      </c>
      <c r="B526" s="11"/>
      <c r="E526" s="11">
        <v>10</v>
      </c>
      <c r="F526" s="11"/>
      <c r="G526" s="68"/>
      <c r="H526" s="59"/>
      <c r="I526" s="68"/>
      <c r="J526" s="59"/>
      <c r="L526" s="68"/>
      <c r="M526" s="59"/>
    </row>
    <row r="527" spans="1:13" ht="12">
      <c r="A527" s="11">
        <v>11</v>
      </c>
      <c r="B527" s="11"/>
      <c r="C527" s="12" t="s">
        <v>28</v>
      </c>
      <c r="E527" s="11">
        <v>11</v>
      </c>
      <c r="F527" s="11"/>
      <c r="G527" s="68">
        <f aca="true" t="shared" si="29" ref="G527:M527">SUM(G520,G525)</f>
        <v>47.8</v>
      </c>
      <c r="H527" s="59">
        <f t="shared" si="29"/>
        <v>6190758.17</v>
      </c>
      <c r="I527" s="68">
        <f t="shared" si="29"/>
        <v>48.900000000000006</v>
      </c>
      <c r="J527" s="59">
        <f t="shared" si="29"/>
        <v>6767266.2299999995</v>
      </c>
      <c r="L527" s="68">
        <f>SUM(L520,L525)</f>
        <v>50.1</v>
      </c>
      <c r="M527" s="59">
        <f t="shared" si="29"/>
        <v>7420040</v>
      </c>
    </row>
    <row r="528" spans="1:13" ht="12">
      <c r="A528" s="11">
        <v>12</v>
      </c>
      <c r="B528" s="11"/>
      <c r="E528" s="11">
        <v>12</v>
      </c>
      <c r="F528" s="11"/>
      <c r="G528" s="68"/>
      <c r="H528" s="59"/>
      <c r="I528" s="68"/>
      <c r="J528" s="59"/>
      <c r="L528" s="68"/>
      <c r="M528" s="59"/>
    </row>
    <row r="529" spans="1:13" ht="12">
      <c r="A529" s="11">
        <v>13</v>
      </c>
      <c r="B529" s="11"/>
      <c r="C529" s="12" t="s">
        <v>29</v>
      </c>
      <c r="E529" s="11">
        <v>13</v>
      </c>
      <c r="F529" s="11"/>
      <c r="G529" s="151">
        <f>2.1</f>
        <v>2.1</v>
      </c>
      <c r="H529" s="88">
        <f>36419.24+145.68</f>
        <v>36564.92</v>
      </c>
      <c r="I529" s="151">
        <f>3.2</f>
        <v>3.2</v>
      </c>
      <c r="J529" s="88">
        <f>62802.67+251.21</f>
        <v>63053.88</v>
      </c>
      <c r="L529" s="151">
        <f>3.1</f>
        <v>3.1</v>
      </c>
      <c r="M529" s="88">
        <f>65180</f>
        <v>65180</v>
      </c>
    </row>
    <row r="530" spans="1:13" ht="12">
      <c r="A530" s="11">
        <v>14</v>
      </c>
      <c r="B530" s="11"/>
      <c r="E530" s="11">
        <v>14</v>
      </c>
      <c r="F530" s="11"/>
      <c r="G530" s="151"/>
      <c r="H530" s="88"/>
      <c r="I530" s="151"/>
      <c r="J530" s="88"/>
      <c r="L530" s="154"/>
      <c r="M530" s="88"/>
    </row>
    <row r="531" spans="1:13" ht="12">
      <c r="A531" s="11">
        <v>15</v>
      </c>
      <c r="B531" s="11"/>
      <c r="C531" s="12" t="s">
        <v>30</v>
      </c>
      <c r="E531" s="11">
        <v>15</v>
      </c>
      <c r="F531" s="11"/>
      <c r="G531" s="151"/>
      <c r="H531" s="88">
        <f>53132.69</f>
        <v>53132.69</v>
      </c>
      <c r="I531" s="151"/>
      <c r="J531" s="88">
        <f>86918.11</f>
        <v>86918.11</v>
      </c>
      <c r="L531" s="151"/>
      <c r="M531" s="88">
        <f>90025</f>
        <v>90025</v>
      </c>
    </row>
    <row r="532" spans="1:13" ht="12">
      <c r="A532" s="11">
        <v>16</v>
      </c>
      <c r="B532" s="11"/>
      <c r="C532" s="12" t="s">
        <v>31</v>
      </c>
      <c r="E532" s="11">
        <v>16</v>
      </c>
      <c r="F532" s="11"/>
      <c r="G532" s="151"/>
      <c r="H532" s="88">
        <f>1401828.09</f>
        <v>1401828.09</v>
      </c>
      <c r="I532" s="151"/>
      <c r="J532" s="88">
        <f>1106974.34</f>
        <v>1106974.34</v>
      </c>
      <c r="L532" s="151"/>
      <c r="M532" s="88">
        <f>1153777</f>
        <v>1153777</v>
      </c>
    </row>
    <row r="533" spans="1:13" ht="12">
      <c r="A533" s="11"/>
      <c r="B533" s="11"/>
      <c r="C533" s="12"/>
      <c r="E533" s="11"/>
      <c r="F533" s="11"/>
      <c r="G533" s="151"/>
      <c r="H533" s="88"/>
      <c r="I533" s="151"/>
      <c r="J533" s="88"/>
      <c r="L533" s="151"/>
      <c r="M533" s="88"/>
    </row>
    <row r="534" spans="1:13" ht="12">
      <c r="A534" s="11">
        <v>17</v>
      </c>
      <c r="B534" s="11"/>
      <c r="C534" s="12" t="s">
        <v>414</v>
      </c>
      <c r="E534" s="11">
        <v>17</v>
      </c>
      <c r="F534" s="11"/>
      <c r="G534" s="151"/>
      <c r="H534" s="88"/>
      <c r="I534" s="151"/>
      <c r="J534" s="88"/>
      <c r="L534" s="151"/>
      <c r="M534" s="88"/>
    </row>
    <row r="535" spans="1:13" ht="12">
      <c r="A535" s="11">
        <v>18</v>
      </c>
      <c r="B535" s="11"/>
      <c r="C535" s="7" t="s">
        <v>420</v>
      </c>
      <c r="E535" s="11">
        <v>18</v>
      </c>
      <c r="F535" s="11"/>
      <c r="G535" s="151"/>
      <c r="H535" s="88"/>
      <c r="I535" s="151"/>
      <c r="J535" s="88"/>
      <c r="L535" s="151"/>
      <c r="M535" s="88"/>
    </row>
    <row r="536" spans="1:9" ht="12">
      <c r="A536" s="11">
        <v>19</v>
      </c>
      <c r="B536" s="11"/>
      <c r="C536" s="12"/>
      <c r="E536" s="11">
        <v>19</v>
      </c>
      <c r="F536" s="11"/>
      <c r="G536" s="151"/>
      <c r="H536" s="88"/>
      <c r="I536" s="151"/>
    </row>
    <row r="537" spans="1:13" ht="12">
      <c r="A537" s="11">
        <v>20</v>
      </c>
      <c r="B537" s="11"/>
      <c r="E537" s="11">
        <v>20</v>
      </c>
      <c r="F537" s="11"/>
      <c r="G537" s="90"/>
      <c r="H537" s="90"/>
      <c r="I537" s="90"/>
      <c r="J537" s="90"/>
      <c r="L537" s="90"/>
      <c r="M537" s="90"/>
    </row>
    <row r="538" spans="1:13" ht="12">
      <c r="A538" s="11">
        <v>21</v>
      </c>
      <c r="B538" s="11"/>
      <c r="E538" s="11">
        <v>21</v>
      </c>
      <c r="F538" s="11"/>
      <c r="H538" s="90"/>
      <c r="I538" s="90"/>
      <c r="J538" s="59"/>
      <c r="L538" s="90"/>
      <c r="M538" s="59"/>
    </row>
    <row r="539" spans="1:13" ht="12">
      <c r="A539" s="11">
        <v>22</v>
      </c>
      <c r="B539" s="11"/>
      <c r="E539" s="11">
        <v>22</v>
      </c>
      <c r="F539" s="11"/>
      <c r="H539" s="90"/>
      <c r="I539" s="68"/>
      <c r="J539" s="59"/>
      <c r="L539" s="68"/>
      <c r="M539" s="59"/>
    </row>
    <row r="540" spans="1:13" ht="12">
      <c r="A540" s="11">
        <v>23</v>
      </c>
      <c r="B540" s="11"/>
      <c r="D540" s="81"/>
      <c r="E540" s="11">
        <v>23</v>
      </c>
      <c r="F540" s="11"/>
      <c r="H540" s="90"/>
      <c r="J540" s="59"/>
      <c r="M540" s="59"/>
    </row>
    <row r="541" spans="1:13" ht="12">
      <c r="A541" s="11">
        <v>24</v>
      </c>
      <c r="B541" s="11"/>
      <c r="D541" s="81"/>
      <c r="E541" s="11">
        <v>24</v>
      </c>
      <c r="F541" s="11"/>
      <c r="H541" s="90"/>
      <c r="J541" s="59"/>
      <c r="M541" s="59"/>
    </row>
    <row r="542" spans="7:13" ht="12">
      <c r="G542" s="90" t="s">
        <v>1</v>
      </c>
      <c r="H542" s="90" t="s">
        <v>1</v>
      </c>
      <c r="I542" s="90" t="s">
        <v>1</v>
      </c>
      <c r="J542" s="90" t="s">
        <v>1</v>
      </c>
      <c r="L542" s="90" t="s">
        <v>1</v>
      </c>
      <c r="M542" s="90" t="s">
        <v>1</v>
      </c>
    </row>
    <row r="543" spans="1:13" ht="12">
      <c r="A543" s="11">
        <v>25</v>
      </c>
      <c r="B543" s="11"/>
      <c r="C543" s="12" t="s">
        <v>421</v>
      </c>
      <c r="E543" s="11">
        <v>25</v>
      </c>
      <c r="F543" s="11"/>
      <c r="G543" s="36">
        <f>G527</f>
        <v>47.8</v>
      </c>
      <c r="H543" s="55">
        <f>SUM(H527:H541)</f>
        <v>7682283.87</v>
      </c>
      <c r="I543" s="36">
        <f>I527</f>
        <v>48.900000000000006</v>
      </c>
      <c r="J543" s="55">
        <f>SUM(J527:J541)</f>
        <v>8024212.56</v>
      </c>
      <c r="L543" s="36">
        <f>L527</f>
        <v>50.1</v>
      </c>
      <c r="M543" s="55">
        <f>SUM(M527:M541)</f>
        <v>8729022</v>
      </c>
    </row>
    <row r="544" spans="5:13" ht="12">
      <c r="E544" s="50"/>
      <c r="F544" s="50"/>
      <c r="G544" s="90" t="s">
        <v>1</v>
      </c>
      <c r="H544" s="90" t="s">
        <v>1</v>
      </c>
      <c r="I544" s="90" t="s">
        <v>1</v>
      </c>
      <c r="J544" s="90" t="s">
        <v>1</v>
      </c>
      <c r="L544" s="90" t="s">
        <v>1</v>
      </c>
      <c r="M544" s="90" t="s">
        <v>1</v>
      </c>
    </row>
    <row r="545" spans="1:13" ht="12">
      <c r="A545" s="12"/>
      <c r="B545" s="12"/>
      <c r="H545" s="59"/>
      <c r="J545" s="59"/>
      <c r="M545" s="59"/>
    </row>
    <row r="546" spans="8:13" ht="12">
      <c r="H546" s="59"/>
      <c r="J546" s="59"/>
      <c r="M546" s="59"/>
    </row>
    <row r="547" spans="1:13" ht="12">
      <c r="A547" s="16" t="s">
        <v>320</v>
      </c>
      <c r="B547" s="16"/>
      <c r="E547" s="50"/>
      <c r="F547" s="50"/>
      <c r="G547" s="5"/>
      <c r="H547" s="59"/>
      <c r="I547" s="5"/>
      <c r="J547" s="59"/>
      <c r="K547" s="5"/>
      <c r="L547" s="5"/>
      <c r="M547" s="146" t="s">
        <v>35</v>
      </c>
    </row>
    <row r="548" spans="1:13" ht="12">
      <c r="A548" s="268" t="s">
        <v>150</v>
      </c>
      <c r="B548" s="268"/>
      <c r="C548" s="268"/>
      <c r="D548" s="268"/>
      <c r="E548" s="268"/>
      <c r="F548" s="268"/>
      <c r="G548" s="268"/>
      <c r="H548" s="268"/>
      <c r="I548" s="268"/>
      <c r="J548" s="268"/>
      <c r="K548" s="268"/>
      <c r="L548" s="268"/>
      <c r="M548" s="268"/>
    </row>
    <row r="549" spans="1:13" ht="12">
      <c r="A549" s="16" t="s">
        <v>292</v>
      </c>
      <c r="B549" s="16"/>
      <c r="G549" s="5"/>
      <c r="H549" s="59"/>
      <c r="I549" s="34"/>
      <c r="J549" s="210"/>
      <c r="K549" s="5"/>
      <c r="L549" s="5"/>
      <c r="M549" s="207" t="s">
        <v>293</v>
      </c>
    </row>
    <row r="550" spans="1:13" ht="12">
      <c r="A550" s="21" t="s">
        <v>1</v>
      </c>
      <c r="B550" s="21"/>
      <c r="C550" s="21" t="s">
        <v>1</v>
      </c>
      <c r="D550" s="21" t="s">
        <v>1</v>
      </c>
      <c r="E550" s="21" t="s">
        <v>1</v>
      </c>
      <c r="F550" s="21"/>
      <c r="G550" s="21" t="s">
        <v>1</v>
      </c>
      <c r="H550" s="143" t="s">
        <v>1</v>
      </c>
      <c r="I550" s="21" t="s">
        <v>1</v>
      </c>
      <c r="J550" s="143" t="s">
        <v>1</v>
      </c>
      <c r="K550" s="21" t="s">
        <v>1</v>
      </c>
      <c r="L550" s="21"/>
      <c r="M550" s="143" t="s">
        <v>1</v>
      </c>
    </row>
    <row r="551" spans="1:13" ht="12">
      <c r="A551" s="24" t="s">
        <v>2</v>
      </c>
      <c r="B551" s="24"/>
      <c r="E551" s="24" t="s">
        <v>2</v>
      </c>
      <c r="F551" s="24"/>
      <c r="G551" s="194"/>
      <c r="H551" s="130" t="s">
        <v>249</v>
      </c>
      <c r="I551" s="142"/>
      <c r="J551" s="130" t="s">
        <v>251</v>
      </c>
      <c r="K551" s="68"/>
      <c r="L551" s="68"/>
      <c r="M551" s="130" t="s">
        <v>260</v>
      </c>
    </row>
    <row r="552" spans="1:13" ht="12">
      <c r="A552" s="24" t="s">
        <v>4</v>
      </c>
      <c r="B552" s="24"/>
      <c r="C552" s="28" t="s">
        <v>20</v>
      </c>
      <c r="E552" s="24" t="s">
        <v>4</v>
      </c>
      <c r="F552" s="24"/>
      <c r="G552" s="149" t="s">
        <v>6</v>
      </c>
      <c r="H552" s="130" t="s">
        <v>7</v>
      </c>
      <c r="I552" s="149" t="s">
        <v>6</v>
      </c>
      <c r="J552" s="130" t="s">
        <v>7</v>
      </c>
      <c r="K552" s="149" t="s">
        <v>6</v>
      </c>
      <c r="L552" s="149"/>
      <c r="M552" s="130" t="s">
        <v>8</v>
      </c>
    </row>
    <row r="553" spans="1:13" ht="12">
      <c r="A553" s="21" t="s">
        <v>1</v>
      </c>
      <c r="B553" s="21"/>
      <c r="C553" s="21" t="s">
        <v>1</v>
      </c>
      <c r="D553" s="21" t="s">
        <v>1</v>
      </c>
      <c r="E553" s="21" t="s">
        <v>1</v>
      </c>
      <c r="F553" s="21"/>
      <c r="G553" s="21" t="s">
        <v>1</v>
      </c>
      <c r="H553" s="21" t="s">
        <v>1</v>
      </c>
      <c r="I553" s="21" t="s">
        <v>1</v>
      </c>
      <c r="J553" s="143" t="s">
        <v>1</v>
      </c>
      <c r="K553" s="21" t="s">
        <v>1</v>
      </c>
      <c r="L553" s="21"/>
      <c r="M553" s="143" t="s">
        <v>1</v>
      </c>
    </row>
    <row r="554" spans="1:13" ht="12">
      <c r="A554" s="11">
        <v>1</v>
      </c>
      <c r="B554" s="11"/>
      <c r="C554" s="12" t="s">
        <v>36</v>
      </c>
      <c r="E554" s="11">
        <v>1</v>
      </c>
      <c r="F554" s="11"/>
      <c r="G554" s="151">
        <f>5</f>
        <v>5</v>
      </c>
      <c r="H554" s="88">
        <f>395006.18</f>
        <v>395006.18</v>
      </c>
      <c r="I554" s="151">
        <f>5.6</f>
        <v>5.6</v>
      </c>
      <c r="J554" s="88">
        <f>458282.95</f>
        <v>458282.95</v>
      </c>
      <c r="K554" s="151">
        <f>5.6</f>
        <v>5.6</v>
      </c>
      <c r="L554" s="151"/>
      <c r="M554" s="88">
        <f>486970</f>
        <v>486970</v>
      </c>
    </row>
    <row r="555" spans="1:13" ht="12">
      <c r="A555" s="11">
        <v>2</v>
      </c>
      <c r="B555" s="11"/>
      <c r="C555" s="12" t="s">
        <v>37</v>
      </c>
      <c r="E555" s="11">
        <v>2</v>
      </c>
      <c r="F555" s="11"/>
      <c r="G555" s="151"/>
      <c r="H555" s="88">
        <f>96046.51</f>
        <v>96046.51</v>
      </c>
      <c r="I555" s="151"/>
      <c r="J555" s="88">
        <f>116509.41</f>
        <v>116509.41</v>
      </c>
      <c r="K555" s="151"/>
      <c r="L555" s="151"/>
      <c r="M555" s="88">
        <f>130452</f>
        <v>130452</v>
      </c>
    </row>
    <row r="556" spans="1:13" ht="12">
      <c r="A556" s="11">
        <v>3</v>
      </c>
      <c r="B556" s="11"/>
      <c r="E556" s="11">
        <v>3</v>
      </c>
      <c r="F556" s="11"/>
      <c r="G556" s="151"/>
      <c r="H556" s="88"/>
      <c r="I556" s="151"/>
      <c r="J556" s="88"/>
      <c r="K556" s="154"/>
      <c r="L556" s="154"/>
      <c r="M556" s="88"/>
    </row>
    <row r="557" spans="1:13" ht="12">
      <c r="A557" s="11">
        <v>4</v>
      </c>
      <c r="B557" s="11"/>
      <c r="C557" s="12" t="s">
        <v>23</v>
      </c>
      <c r="E557" s="11">
        <v>4</v>
      </c>
      <c r="F557" s="11"/>
      <c r="G557" s="68">
        <f aca="true" t="shared" si="30" ref="G557:M557">SUM(G554:G555)</f>
        <v>5</v>
      </c>
      <c r="H557" s="59">
        <f t="shared" si="30"/>
        <v>491052.69</v>
      </c>
      <c r="I557" s="68">
        <f t="shared" si="30"/>
        <v>5.6</v>
      </c>
      <c r="J557" s="59">
        <f t="shared" si="30"/>
        <v>574792.36</v>
      </c>
      <c r="K557" s="68">
        <f t="shared" si="30"/>
        <v>5.6</v>
      </c>
      <c r="L557" s="68"/>
      <c r="M557" s="59">
        <f t="shared" si="30"/>
        <v>617422</v>
      </c>
    </row>
    <row r="558" spans="1:13" ht="12">
      <c r="A558" s="11">
        <v>5</v>
      </c>
      <c r="B558" s="11"/>
      <c r="E558" s="11">
        <v>5</v>
      </c>
      <c r="F558" s="11"/>
      <c r="G558" s="68"/>
      <c r="H558" s="59"/>
      <c r="I558" s="68"/>
      <c r="J558" s="59"/>
      <c r="K558" s="153"/>
      <c r="L558" s="153"/>
      <c r="M558" s="59"/>
    </row>
    <row r="559" spans="1:13" ht="12">
      <c r="A559" s="11">
        <v>6</v>
      </c>
      <c r="B559" s="11"/>
      <c r="E559" s="11">
        <v>6</v>
      </c>
      <c r="F559" s="11"/>
      <c r="G559" s="68"/>
      <c r="H559" s="59"/>
      <c r="I559" s="68"/>
      <c r="J559" s="59"/>
      <c r="K559" s="68"/>
      <c r="L559" s="68"/>
      <c r="M559" s="59"/>
    </row>
    <row r="560" spans="1:13" ht="12">
      <c r="A560" s="11">
        <v>7</v>
      </c>
      <c r="B560" s="11"/>
      <c r="C560" s="12" t="s">
        <v>25</v>
      </c>
      <c r="E560" s="11">
        <v>7</v>
      </c>
      <c r="F560" s="11"/>
      <c r="G560" s="151">
        <f>3.1</f>
        <v>3.1</v>
      </c>
      <c r="H560" s="88">
        <f>115534.72</f>
        <v>115534.72</v>
      </c>
      <c r="I560" s="151">
        <f>2.8</f>
        <v>2.8</v>
      </c>
      <c r="J560" s="88">
        <f>110988.08</f>
        <v>110988.08</v>
      </c>
      <c r="K560" s="151">
        <f>2.9</f>
        <v>2.9</v>
      </c>
      <c r="L560" s="151"/>
      <c r="M560" s="88">
        <f>118408</f>
        <v>118408</v>
      </c>
    </row>
    <row r="561" spans="1:13" ht="12">
      <c r="A561" s="11">
        <v>8</v>
      </c>
      <c r="B561" s="11"/>
      <c r="C561" s="12" t="s">
        <v>26</v>
      </c>
      <c r="E561" s="11">
        <v>8</v>
      </c>
      <c r="F561" s="11"/>
      <c r="G561" s="151"/>
      <c r="H561" s="88">
        <f>20429.76</f>
        <v>20429.76</v>
      </c>
      <c r="I561" s="151"/>
      <c r="J561" s="88">
        <f>27231.25</f>
        <v>27231.25</v>
      </c>
      <c r="K561" s="154"/>
      <c r="L561" s="154"/>
      <c r="M561" s="88">
        <f>32629</f>
        <v>32629</v>
      </c>
    </row>
    <row r="562" spans="1:13" ht="12">
      <c r="A562" s="11">
        <v>9</v>
      </c>
      <c r="B562" s="11"/>
      <c r="C562" s="12" t="s">
        <v>27</v>
      </c>
      <c r="E562" s="11">
        <v>9</v>
      </c>
      <c r="F562" s="11"/>
      <c r="G562" s="68">
        <f aca="true" t="shared" si="31" ref="G562:M562">SUM(G560:G561)</f>
        <v>3.1</v>
      </c>
      <c r="H562" s="59">
        <f t="shared" si="31"/>
        <v>135964.48</v>
      </c>
      <c r="I562" s="68">
        <f t="shared" si="31"/>
        <v>2.8</v>
      </c>
      <c r="J562" s="59">
        <f t="shared" si="31"/>
        <v>138219.33000000002</v>
      </c>
      <c r="K562" s="68">
        <f t="shared" si="31"/>
        <v>2.9</v>
      </c>
      <c r="L562" s="68"/>
      <c r="M562" s="59">
        <f t="shared" si="31"/>
        <v>151037</v>
      </c>
    </row>
    <row r="563" spans="1:13" ht="12">
      <c r="A563" s="11">
        <v>10</v>
      </c>
      <c r="B563" s="11"/>
      <c r="E563" s="11">
        <v>10</v>
      </c>
      <c r="F563" s="11"/>
      <c r="G563" s="68"/>
      <c r="H563" s="59"/>
      <c r="I563" s="68"/>
      <c r="J563" s="59"/>
      <c r="K563" s="68"/>
      <c r="L563" s="68"/>
      <c r="M563" s="59"/>
    </row>
    <row r="564" spans="1:13" ht="12">
      <c r="A564" s="11">
        <v>11</v>
      </c>
      <c r="B564" s="11"/>
      <c r="C564" s="12" t="s">
        <v>28</v>
      </c>
      <c r="E564" s="11">
        <v>11</v>
      </c>
      <c r="F564" s="11"/>
      <c r="G564" s="68">
        <f aca="true" t="shared" si="32" ref="G564:M564">SUM(G562,G557)</f>
        <v>8.1</v>
      </c>
      <c r="H564" s="59">
        <f t="shared" si="32"/>
        <v>627017.17</v>
      </c>
      <c r="I564" s="68">
        <f t="shared" si="32"/>
        <v>8.399999999999999</v>
      </c>
      <c r="J564" s="59">
        <f t="shared" si="32"/>
        <v>713011.69</v>
      </c>
      <c r="K564" s="68">
        <f t="shared" si="32"/>
        <v>8.5</v>
      </c>
      <c r="L564" s="68"/>
      <c r="M564" s="59">
        <f t="shared" si="32"/>
        <v>768459</v>
      </c>
    </row>
    <row r="565" spans="1:13" ht="12">
      <c r="A565" s="11">
        <v>12</v>
      </c>
      <c r="B565" s="11"/>
      <c r="E565" s="11">
        <v>12</v>
      </c>
      <c r="F565" s="11"/>
      <c r="G565" s="68"/>
      <c r="H565" s="59"/>
      <c r="I565" s="68"/>
      <c r="J565" s="59"/>
      <c r="K565" s="68"/>
      <c r="L565" s="68"/>
      <c r="M565" s="59"/>
    </row>
    <row r="566" spans="1:13" ht="12">
      <c r="A566" s="11">
        <v>13</v>
      </c>
      <c r="B566" s="11"/>
      <c r="C566" s="12" t="s">
        <v>38</v>
      </c>
      <c r="E566" s="11">
        <v>13</v>
      </c>
      <c r="F566" s="11"/>
      <c r="G566" s="151">
        <v>0</v>
      </c>
      <c r="H566" s="88">
        <f>702+2.81</f>
        <v>704.81</v>
      </c>
      <c r="I566" s="151">
        <f>0.2+0.0396</f>
        <v>0.2396</v>
      </c>
      <c r="J566" s="88">
        <f>7299.79+782.51+3635.57+3.14</f>
        <v>11721.01</v>
      </c>
      <c r="K566" s="151">
        <f>0.1</f>
        <v>0.1</v>
      </c>
      <c r="L566" s="151"/>
      <c r="M566" s="88">
        <f>5008</f>
        <v>5008</v>
      </c>
    </row>
    <row r="567" spans="1:13" ht="12">
      <c r="A567" s="11">
        <v>14</v>
      </c>
      <c r="B567" s="11"/>
      <c r="E567" s="11">
        <v>14</v>
      </c>
      <c r="F567" s="11"/>
      <c r="G567" s="151"/>
      <c r="H567" s="88"/>
      <c r="I567" s="151"/>
      <c r="J567" s="88"/>
      <c r="K567" s="151"/>
      <c r="L567" s="151"/>
      <c r="M567" s="88"/>
    </row>
    <row r="568" spans="1:13" ht="12">
      <c r="A568" s="11">
        <v>15</v>
      </c>
      <c r="B568" s="11"/>
      <c r="C568" s="12" t="s">
        <v>30</v>
      </c>
      <c r="E568" s="11">
        <v>15</v>
      </c>
      <c r="F568" s="11"/>
      <c r="G568" s="151"/>
      <c r="H568" s="88">
        <f>6441.4</f>
        <v>6441.4</v>
      </c>
      <c r="I568" s="151"/>
      <c r="J568" s="88">
        <f>4929.9</f>
        <v>4929.9</v>
      </c>
      <c r="K568" s="151"/>
      <c r="L568" s="151"/>
      <c r="M568" s="88">
        <f>5685</f>
        <v>5685</v>
      </c>
    </row>
    <row r="569" spans="1:13" ht="12">
      <c r="A569" s="11">
        <v>16</v>
      </c>
      <c r="B569" s="11"/>
      <c r="C569" s="12" t="s">
        <v>31</v>
      </c>
      <c r="E569" s="11">
        <v>16</v>
      </c>
      <c r="F569" s="11"/>
      <c r="G569" s="151"/>
      <c r="H569" s="88">
        <f>80213.99</f>
        <v>80213.99</v>
      </c>
      <c r="I569" s="151"/>
      <c r="J569" s="88">
        <f>62282.21</f>
        <v>62282.21</v>
      </c>
      <c r="K569" s="151"/>
      <c r="L569" s="151"/>
      <c r="M569" s="88">
        <f>62426</f>
        <v>62426</v>
      </c>
    </row>
    <row r="570" spans="1:13" ht="12">
      <c r="A570" s="11"/>
      <c r="B570" s="11"/>
      <c r="C570" s="12"/>
      <c r="E570" s="11"/>
      <c r="F570" s="11"/>
      <c r="G570" s="151"/>
      <c r="H570" s="88"/>
      <c r="I570" s="151"/>
      <c r="J570" s="88"/>
      <c r="K570" s="151"/>
      <c r="L570" s="151"/>
      <c r="M570" s="88"/>
    </row>
    <row r="571" spans="1:13" ht="12">
      <c r="A571" s="11">
        <v>17</v>
      </c>
      <c r="B571" s="11"/>
      <c r="C571" s="12" t="s">
        <v>32</v>
      </c>
      <c r="E571" s="11">
        <v>17</v>
      </c>
      <c r="F571" s="11"/>
      <c r="G571" s="151"/>
      <c r="H571" s="88"/>
      <c r="I571" s="151"/>
      <c r="J571" s="88"/>
      <c r="K571" s="151"/>
      <c r="L571" s="151"/>
      <c r="M571" s="88"/>
    </row>
    <row r="572" spans="1:13" ht="12">
      <c r="A572" s="11">
        <v>18</v>
      </c>
      <c r="B572" s="11"/>
      <c r="C572" s="7" t="s">
        <v>422</v>
      </c>
      <c r="E572" s="11">
        <v>18</v>
      </c>
      <c r="F572" s="11"/>
      <c r="G572" s="151"/>
      <c r="H572" s="88"/>
      <c r="I572" s="151"/>
      <c r="J572" s="88"/>
      <c r="K572" s="151"/>
      <c r="L572" s="151"/>
      <c r="M572" s="88"/>
    </row>
    <row r="573" spans="1:9" ht="12">
      <c r="A573" s="11">
        <v>19</v>
      </c>
      <c r="B573" s="11"/>
      <c r="C573" s="12"/>
      <c r="E573" s="11">
        <v>19</v>
      </c>
      <c r="F573" s="11"/>
      <c r="G573" s="151"/>
      <c r="H573" s="88"/>
      <c r="I573" s="151"/>
    </row>
    <row r="574" spans="1:13" ht="12">
      <c r="A574" s="11">
        <v>20</v>
      </c>
      <c r="B574" s="11"/>
      <c r="E574" s="11">
        <v>20</v>
      </c>
      <c r="F574" s="11"/>
      <c r="G574" s="90"/>
      <c r="H574" s="90"/>
      <c r="I574" s="90"/>
      <c r="J574" s="90"/>
      <c r="K574" s="90"/>
      <c r="L574" s="90"/>
      <c r="M574" s="90"/>
    </row>
    <row r="575" spans="1:13" ht="12">
      <c r="A575" s="11">
        <v>21</v>
      </c>
      <c r="B575" s="11"/>
      <c r="E575" s="11">
        <v>21</v>
      </c>
      <c r="F575" s="11"/>
      <c r="H575" s="90"/>
      <c r="I575" s="90"/>
      <c r="J575" s="59"/>
      <c r="K575" s="90"/>
      <c r="L575" s="90"/>
      <c r="M575" s="59"/>
    </row>
    <row r="576" spans="1:13" ht="12">
      <c r="A576" s="11">
        <v>22</v>
      </c>
      <c r="B576" s="11"/>
      <c r="E576" s="11">
        <v>22</v>
      </c>
      <c r="F576" s="11"/>
      <c r="H576" s="90"/>
      <c r="I576" s="68"/>
      <c r="J576" s="59"/>
      <c r="K576" s="68"/>
      <c r="L576" s="68"/>
      <c r="M576" s="59"/>
    </row>
    <row r="577" spans="1:13" ht="12">
      <c r="A577" s="11">
        <v>23</v>
      </c>
      <c r="B577" s="11"/>
      <c r="D577" s="81"/>
      <c r="E577" s="11">
        <v>23</v>
      </c>
      <c r="F577" s="11"/>
      <c r="H577" s="90"/>
      <c r="J577" s="59"/>
      <c r="M577" s="59"/>
    </row>
    <row r="578" spans="1:13" ht="12">
      <c r="A578" s="11">
        <v>24</v>
      </c>
      <c r="B578" s="11"/>
      <c r="D578" s="81"/>
      <c r="E578" s="11">
        <v>24</v>
      </c>
      <c r="F578" s="11"/>
      <c r="H578" s="90"/>
      <c r="J578" s="59"/>
      <c r="M578" s="59"/>
    </row>
    <row r="579" spans="7:13" ht="12">
      <c r="G579" s="90" t="s">
        <v>1</v>
      </c>
      <c r="H579" s="90" t="s">
        <v>1</v>
      </c>
      <c r="I579" s="90" t="s">
        <v>1</v>
      </c>
      <c r="J579" s="90" t="s">
        <v>1</v>
      </c>
      <c r="K579" s="90" t="s">
        <v>1</v>
      </c>
      <c r="L579" s="90"/>
      <c r="M579" s="90" t="s">
        <v>1</v>
      </c>
    </row>
    <row r="580" spans="1:13" ht="12">
      <c r="A580" s="11">
        <v>25</v>
      </c>
      <c r="B580" s="11"/>
      <c r="C580" s="12" t="s">
        <v>423</v>
      </c>
      <c r="E580" s="11">
        <v>25</v>
      </c>
      <c r="F580" s="11"/>
      <c r="G580" s="36">
        <f>G564</f>
        <v>8.1</v>
      </c>
      <c r="H580" s="55">
        <f>SUM(H564:H578)</f>
        <v>714377.3700000001</v>
      </c>
      <c r="I580" s="36">
        <f>I564</f>
        <v>8.399999999999999</v>
      </c>
      <c r="J580" s="55">
        <f>SUM(J564:J578)</f>
        <v>791944.8099999999</v>
      </c>
      <c r="K580" s="36">
        <f>K564</f>
        <v>8.5</v>
      </c>
      <c r="L580" s="36"/>
      <c r="M580" s="59">
        <f>SUM(M564:M578)</f>
        <v>841578</v>
      </c>
    </row>
    <row r="581" spans="5:13" ht="12">
      <c r="E581" s="50"/>
      <c r="F581" s="50"/>
      <c r="G581" s="90" t="s">
        <v>1</v>
      </c>
      <c r="H581" s="90" t="s">
        <v>1</v>
      </c>
      <c r="I581" s="90" t="s">
        <v>1</v>
      </c>
      <c r="J581" s="90" t="s">
        <v>1</v>
      </c>
      <c r="K581" s="90" t="s">
        <v>1</v>
      </c>
      <c r="L581" s="90"/>
      <c r="M581" s="90" t="s">
        <v>1</v>
      </c>
    </row>
    <row r="582" spans="1:13" ht="12">
      <c r="A582" s="12"/>
      <c r="B582" s="12"/>
      <c r="H582" s="59"/>
      <c r="J582" s="59"/>
      <c r="M582" s="59"/>
    </row>
    <row r="583" spans="8:13" ht="12">
      <c r="H583" s="59"/>
      <c r="J583" s="59"/>
      <c r="M583" s="59"/>
    </row>
    <row r="584" spans="1:13" ht="12">
      <c r="A584" s="16" t="s">
        <v>320</v>
      </c>
      <c r="B584" s="16"/>
      <c r="E584" s="50"/>
      <c r="F584" s="50"/>
      <c r="G584" s="5"/>
      <c r="H584" s="59"/>
      <c r="I584" s="5"/>
      <c r="J584" s="59"/>
      <c r="K584" s="5"/>
      <c r="L584" s="5"/>
      <c r="M584" s="146" t="s">
        <v>39</v>
      </c>
    </row>
    <row r="585" spans="1:13" ht="12">
      <c r="A585" s="268" t="s">
        <v>151</v>
      </c>
      <c r="B585" s="268"/>
      <c r="C585" s="268"/>
      <c r="D585" s="268"/>
      <c r="E585" s="268"/>
      <c r="F585" s="268"/>
      <c r="G585" s="268"/>
      <c r="H585" s="268"/>
      <c r="I585" s="268"/>
      <c r="J585" s="268"/>
      <c r="K585" s="268"/>
      <c r="L585" s="268"/>
      <c r="M585" s="268"/>
    </row>
    <row r="586" spans="1:13" ht="12">
      <c r="A586" s="16" t="s">
        <v>292</v>
      </c>
      <c r="B586" s="16"/>
      <c r="G586" s="5"/>
      <c r="H586" s="59"/>
      <c r="I586" s="34"/>
      <c r="J586" s="210"/>
      <c r="K586" s="5"/>
      <c r="L586" s="5"/>
      <c r="M586" s="207" t="s">
        <v>293</v>
      </c>
    </row>
    <row r="587" spans="1:13" ht="12">
      <c r="A587" s="21" t="s">
        <v>1</v>
      </c>
      <c r="B587" s="21"/>
      <c r="C587" s="21" t="s">
        <v>1</v>
      </c>
      <c r="D587" s="21" t="s">
        <v>1</v>
      </c>
      <c r="E587" s="21" t="s">
        <v>1</v>
      </c>
      <c r="F587" s="21"/>
      <c r="G587" s="21" t="s">
        <v>1</v>
      </c>
      <c r="H587" s="143" t="s">
        <v>1</v>
      </c>
      <c r="I587" s="21" t="s">
        <v>1</v>
      </c>
      <c r="J587" s="143" t="s">
        <v>1</v>
      </c>
      <c r="L587" s="21" t="s">
        <v>1</v>
      </c>
      <c r="M587" s="143" t="s">
        <v>1</v>
      </c>
    </row>
    <row r="588" spans="1:13" ht="12">
      <c r="A588" s="24" t="s">
        <v>2</v>
      </c>
      <c r="B588" s="24"/>
      <c r="E588" s="24" t="s">
        <v>2</v>
      </c>
      <c r="F588" s="24"/>
      <c r="G588" s="149"/>
      <c r="H588" s="130" t="s">
        <v>249</v>
      </c>
      <c r="I588" s="142"/>
      <c r="J588" s="130" t="s">
        <v>251</v>
      </c>
      <c r="L588" s="68"/>
      <c r="M588" s="130" t="s">
        <v>260</v>
      </c>
    </row>
    <row r="589" spans="1:13" ht="12">
      <c r="A589" s="24" t="s">
        <v>4</v>
      </c>
      <c r="B589" s="24"/>
      <c r="C589" s="28" t="s">
        <v>20</v>
      </c>
      <c r="E589" s="24" t="s">
        <v>4</v>
      </c>
      <c r="F589" s="24"/>
      <c r="G589" s="149" t="s">
        <v>6</v>
      </c>
      <c r="H589" s="130" t="s">
        <v>7</v>
      </c>
      <c r="I589" s="149" t="s">
        <v>6</v>
      </c>
      <c r="J589" s="130" t="s">
        <v>7</v>
      </c>
      <c r="L589" s="149" t="s">
        <v>6</v>
      </c>
      <c r="M589" s="130" t="s">
        <v>8</v>
      </c>
    </row>
    <row r="590" spans="1:13" ht="12">
      <c r="A590" s="21" t="s">
        <v>1</v>
      </c>
      <c r="B590" s="21"/>
      <c r="C590" s="21" t="s">
        <v>1</v>
      </c>
      <c r="D590" s="21" t="s">
        <v>1</v>
      </c>
      <c r="E590" s="21" t="s">
        <v>1</v>
      </c>
      <c r="F590" s="21"/>
      <c r="G590" s="21" t="s">
        <v>1</v>
      </c>
      <c r="H590" s="21" t="s">
        <v>1</v>
      </c>
      <c r="I590" s="21" t="s">
        <v>1</v>
      </c>
      <c r="J590" s="143" t="s">
        <v>1</v>
      </c>
      <c r="L590" s="21" t="s">
        <v>1</v>
      </c>
      <c r="M590" s="143" t="s">
        <v>1</v>
      </c>
    </row>
    <row r="591" spans="1:13" ht="12">
      <c r="A591" s="11">
        <v>1</v>
      </c>
      <c r="B591" s="11"/>
      <c r="C591" s="12" t="s">
        <v>36</v>
      </c>
      <c r="E591" s="11">
        <v>1</v>
      </c>
      <c r="F591" s="11"/>
      <c r="G591" s="151">
        <f>210</f>
        <v>210</v>
      </c>
      <c r="H591" s="88">
        <f>15554344.33</f>
        <v>15554344.33</v>
      </c>
      <c r="I591" s="151">
        <f>225.4</f>
        <v>225.4</v>
      </c>
      <c r="J591" s="88">
        <f>17546745.73</f>
        <v>17546745.73</v>
      </c>
      <c r="L591" s="151">
        <f>225.7</f>
        <v>225.7</v>
      </c>
      <c r="M591" s="88">
        <f>18500859</f>
        <v>18500859</v>
      </c>
    </row>
    <row r="592" spans="1:13" ht="12">
      <c r="A592" s="11">
        <v>2</v>
      </c>
      <c r="B592" s="11"/>
      <c r="C592" s="12" t="s">
        <v>37</v>
      </c>
      <c r="E592" s="11">
        <v>2</v>
      </c>
      <c r="F592" s="11"/>
      <c r="G592" s="151"/>
      <c r="H592" s="88">
        <f>3791047.48</f>
        <v>3791047.48</v>
      </c>
      <c r="I592" s="151"/>
      <c r="J592" s="88">
        <f>4746923.29</f>
        <v>4746923.29</v>
      </c>
      <c r="L592" s="151"/>
      <c r="M592" s="88">
        <f>4993934</f>
        <v>4993934</v>
      </c>
    </row>
    <row r="593" spans="1:13" ht="12">
      <c r="A593" s="11">
        <v>3</v>
      </c>
      <c r="B593" s="11"/>
      <c r="E593" s="11">
        <v>3</v>
      </c>
      <c r="F593" s="11"/>
      <c r="G593" s="151"/>
      <c r="H593" s="88"/>
      <c r="I593" s="151"/>
      <c r="J593" s="88"/>
      <c r="L593" s="151"/>
      <c r="M593" s="88"/>
    </row>
    <row r="594" spans="1:13" ht="12">
      <c r="A594" s="11">
        <v>4</v>
      </c>
      <c r="B594" s="11"/>
      <c r="C594" s="12" t="s">
        <v>23</v>
      </c>
      <c r="E594" s="11">
        <v>4</v>
      </c>
      <c r="F594" s="11"/>
      <c r="G594" s="68">
        <f>G591</f>
        <v>210</v>
      </c>
      <c r="H594" s="59">
        <f>SUM(H591:H592)</f>
        <v>19345391.81</v>
      </c>
      <c r="I594" s="68">
        <f>I591</f>
        <v>225.4</v>
      </c>
      <c r="J594" s="59">
        <f>SUM(J591:J592)</f>
        <v>22293669.02</v>
      </c>
      <c r="L594" s="68">
        <f>L591</f>
        <v>225.7</v>
      </c>
      <c r="M594" s="59">
        <f>SUM(M591:M592)</f>
        <v>23494793</v>
      </c>
    </row>
    <row r="595" spans="1:13" ht="12">
      <c r="A595" s="11">
        <v>5</v>
      </c>
      <c r="B595" s="11"/>
      <c r="E595" s="11">
        <v>5</v>
      </c>
      <c r="F595" s="11"/>
      <c r="G595" s="68"/>
      <c r="H595" s="59"/>
      <c r="I595" s="68"/>
      <c r="J595" s="59"/>
      <c r="L595" s="153"/>
      <c r="M595" s="59"/>
    </row>
    <row r="596" spans="1:13" ht="12">
      <c r="A596" s="11">
        <v>6</v>
      </c>
      <c r="B596" s="11"/>
      <c r="E596" s="11">
        <v>6</v>
      </c>
      <c r="F596" s="11"/>
      <c r="G596" s="68"/>
      <c r="H596" s="59"/>
      <c r="I596" s="68"/>
      <c r="J596" s="59"/>
      <c r="L596" s="68"/>
      <c r="M596" s="59"/>
    </row>
    <row r="597" spans="1:13" ht="12">
      <c r="A597" s="11">
        <v>7</v>
      </c>
      <c r="B597" s="11"/>
      <c r="C597" s="12" t="s">
        <v>25</v>
      </c>
      <c r="E597" s="11">
        <v>7</v>
      </c>
      <c r="F597" s="11"/>
      <c r="G597" s="151">
        <f>316.7</f>
        <v>316.7</v>
      </c>
      <c r="H597" s="88">
        <f>16107430.04</f>
        <v>16107430.04</v>
      </c>
      <c r="I597" s="151">
        <f>327.7</f>
        <v>327.7</v>
      </c>
      <c r="J597" s="88">
        <f>17520107.42</f>
        <v>17520107.42</v>
      </c>
      <c r="L597" s="151">
        <f>326.9</f>
        <v>326.9</v>
      </c>
      <c r="M597" s="88">
        <f>18403887</f>
        <v>18403887</v>
      </c>
    </row>
    <row r="598" spans="1:13" ht="12">
      <c r="A598" s="11">
        <v>8</v>
      </c>
      <c r="B598" s="11"/>
      <c r="C598" s="12" t="s">
        <v>26</v>
      </c>
      <c r="E598" s="11">
        <v>8</v>
      </c>
      <c r="F598" s="11"/>
      <c r="G598" s="151"/>
      <c r="H598" s="88">
        <f>3340935.43</f>
        <v>3340935.43</v>
      </c>
      <c r="I598" s="151"/>
      <c r="J598" s="88">
        <f>4502167.97</f>
        <v>4502167.97</v>
      </c>
      <c r="L598" s="151"/>
      <c r="M598" s="88">
        <f>4994542</f>
        <v>4994542</v>
      </c>
    </row>
    <row r="599" spans="1:13" ht="12">
      <c r="A599" s="11">
        <v>9</v>
      </c>
      <c r="B599" s="11"/>
      <c r="C599" s="12" t="s">
        <v>27</v>
      </c>
      <c r="E599" s="11">
        <v>9</v>
      </c>
      <c r="F599" s="11"/>
      <c r="G599" s="68">
        <f>G597</f>
        <v>316.7</v>
      </c>
      <c r="H599" s="59">
        <f>SUM(H597:H598)</f>
        <v>19448365.47</v>
      </c>
      <c r="I599" s="68">
        <f>I597</f>
        <v>327.7</v>
      </c>
      <c r="J599" s="59">
        <f>SUM(J597:J598)</f>
        <v>22022275.39</v>
      </c>
      <c r="L599" s="68">
        <f>L597</f>
        <v>326.9</v>
      </c>
      <c r="M599" s="59">
        <f>SUM(M597:M598)</f>
        <v>23398429</v>
      </c>
    </row>
    <row r="600" spans="1:13" ht="12">
      <c r="A600" s="11">
        <v>10</v>
      </c>
      <c r="B600" s="11"/>
      <c r="E600" s="11">
        <v>10</v>
      </c>
      <c r="F600" s="11"/>
      <c r="G600" s="68"/>
      <c r="H600" s="59"/>
      <c r="I600" s="68"/>
      <c r="J600" s="59"/>
      <c r="L600" s="68"/>
      <c r="M600" s="59"/>
    </row>
    <row r="601" spans="1:13" ht="12">
      <c r="A601" s="11">
        <v>11</v>
      </c>
      <c r="B601" s="11"/>
      <c r="C601" s="12" t="s">
        <v>28</v>
      </c>
      <c r="E601" s="11">
        <v>11</v>
      </c>
      <c r="F601" s="11"/>
      <c r="G601" s="68">
        <f aca="true" t="shared" si="33" ref="G601:M601">SUM(G599,G594)</f>
        <v>526.7</v>
      </c>
      <c r="H601" s="59">
        <f t="shared" si="33"/>
        <v>38793757.28</v>
      </c>
      <c r="I601" s="68">
        <f t="shared" si="33"/>
        <v>553.1</v>
      </c>
      <c r="J601" s="59">
        <f t="shared" si="33"/>
        <v>44315944.41</v>
      </c>
      <c r="L601" s="68">
        <f>SUM(L599,L594)</f>
        <v>552.5999999999999</v>
      </c>
      <c r="M601" s="59">
        <f t="shared" si="33"/>
        <v>46893222</v>
      </c>
    </row>
    <row r="602" spans="1:13" ht="12">
      <c r="A602" s="11">
        <v>12</v>
      </c>
      <c r="B602" s="11"/>
      <c r="E602" s="11">
        <v>12</v>
      </c>
      <c r="F602" s="11"/>
      <c r="H602" s="59"/>
      <c r="J602" s="59"/>
      <c r="M602" s="59"/>
    </row>
    <row r="603" spans="1:13" ht="12">
      <c r="A603" s="11">
        <v>13</v>
      </c>
      <c r="B603" s="11"/>
      <c r="C603" s="12" t="s">
        <v>38</v>
      </c>
      <c r="E603" s="11">
        <v>13</v>
      </c>
      <c r="F603" s="11"/>
      <c r="G603" s="151">
        <f>10+89.1</f>
        <v>99.1</v>
      </c>
      <c r="H603" s="88">
        <f>356903.74+1386436.11+406199.01+5545.75</f>
        <v>2155084.6100000003</v>
      </c>
      <c r="I603" s="151">
        <f>10.7+71.7</f>
        <v>82.4</v>
      </c>
      <c r="J603" s="88">
        <f>368614.42+1417183.37+353419.45+5668.73</f>
        <v>2144885.97</v>
      </c>
      <c r="L603" s="151">
        <f>12.2+76.8</f>
        <v>89</v>
      </c>
      <c r="M603" s="88">
        <f>2279568</f>
        <v>2279568</v>
      </c>
    </row>
    <row r="604" spans="1:13" ht="12">
      <c r="A604" s="11">
        <v>14</v>
      </c>
      <c r="B604" s="11"/>
      <c r="E604" s="11">
        <v>14</v>
      </c>
      <c r="F604" s="11"/>
      <c r="G604" s="88"/>
      <c r="H604" s="88"/>
      <c r="I604" s="88"/>
      <c r="J604" s="88"/>
      <c r="L604" s="88"/>
      <c r="M604" s="88"/>
    </row>
    <row r="605" spans="1:13" ht="12">
      <c r="A605" s="11">
        <v>15</v>
      </c>
      <c r="B605" s="11"/>
      <c r="C605" s="12" t="s">
        <v>30</v>
      </c>
      <c r="E605" s="11">
        <v>15</v>
      </c>
      <c r="F605" s="11"/>
      <c r="G605" s="151"/>
      <c r="H605" s="88">
        <f>389214.68</f>
        <v>389214.68</v>
      </c>
      <c r="I605" s="151"/>
      <c r="J605" s="88">
        <f>422292.7</f>
        <v>422292.7</v>
      </c>
      <c r="L605" s="151"/>
      <c r="M605" s="88">
        <f>443657</f>
        <v>443657</v>
      </c>
    </row>
    <row r="606" spans="1:13" ht="12">
      <c r="A606" s="11">
        <v>16</v>
      </c>
      <c r="B606" s="11"/>
      <c r="C606" s="12" t="s">
        <v>31</v>
      </c>
      <c r="E606" s="11">
        <v>16</v>
      </c>
      <c r="F606" s="11"/>
      <c r="G606" s="151"/>
      <c r="H606" s="88">
        <f>-519055.66+8038695.35-211769.04</f>
        <v>7307870.649999999</v>
      </c>
      <c r="I606" s="151"/>
      <c r="J606" s="88">
        <f>-493432.47+7817347.15-234202.04</f>
        <v>7089712.640000001</v>
      </c>
      <c r="L606" s="151"/>
      <c r="M606" s="88">
        <f>7363077</f>
        <v>7363077</v>
      </c>
    </row>
    <row r="607" spans="1:13" ht="12">
      <c r="A607" s="11"/>
      <c r="B607" s="11"/>
      <c r="C607" s="12"/>
      <c r="E607" s="11"/>
      <c r="F607" s="11"/>
      <c r="G607" s="151"/>
      <c r="H607" s="88"/>
      <c r="I607" s="151"/>
      <c r="J607" s="88"/>
      <c r="L607" s="151"/>
      <c r="M607" s="88"/>
    </row>
    <row r="608" spans="1:13" ht="12">
      <c r="A608" s="11">
        <v>17</v>
      </c>
      <c r="B608" s="11"/>
      <c r="C608" s="12" t="s">
        <v>32</v>
      </c>
      <c r="E608" s="11">
        <v>17</v>
      </c>
      <c r="F608" s="11"/>
      <c r="G608" s="151"/>
      <c r="H608" s="88">
        <f>1131434.77</f>
        <v>1131434.77</v>
      </c>
      <c r="I608" s="151"/>
      <c r="J608" s="88">
        <f>1467038.48+0.5</f>
        <v>1467038.98</v>
      </c>
      <c r="L608" s="151"/>
      <c r="M608" s="88">
        <f>1159784</f>
        <v>1159784</v>
      </c>
    </row>
    <row r="609" spans="1:13" ht="12">
      <c r="A609" s="11">
        <v>18</v>
      </c>
      <c r="B609" s="11"/>
      <c r="C609" s="12" t="s">
        <v>424</v>
      </c>
      <c r="E609" s="11">
        <v>18</v>
      </c>
      <c r="F609" s="11"/>
      <c r="G609" s="151"/>
      <c r="H609" s="88">
        <f>10466685.96</f>
        <v>10466685.96</v>
      </c>
      <c r="I609" s="151"/>
      <c r="J609" s="88">
        <f>11566355.09</f>
        <v>11566355.09</v>
      </c>
      <c r="L609" s="151"/>
      <c r="M609" s="88">
        <f>12749132</f>
        <v>12749132</v>
      </c>
    </row>
    <row r="610" spans="1:12" ht="12">
      <c r="A610" s="11">
        <v>19</v>
      </c>
      <c r="B610" s="11"/>
      <c r="C610" s="12" t="s">
        <v>42</v>
      </c>
      <c r="E610" s="11">
        <v>19</v>
      </c>
      <c r="F610" s="11"/>
      <c r="G610" s="151"/>
      <c r="I610" s="151"/>
      <c r="L610" s="151"/>
    </row>
    <row r="611" spans="1:13" ht="12">
      <c r="A611" s="11">
        <v>20</v>
      </c>
      <c r="B611" s="11"/>
      <c r="C611" s="12" t="s">
        <v>104</v>
      </c>
      <c r="E611" s="11">
        <v>20</v>
      </c>
      <c r="F611" s="11"/>
      <c r="G611" s="151"/>
      <c r="H611" s="88"/>
      <c r="I611" s="151"/>
      <c r="J611" s="88"/>
      <c r="L611" s="151"/>
      <c r="M611" s="88"/>
    </row>
    <row r="612" spans="1:13" ht="12">
      <c r="A612" s="11">
        <v>21</v>
      </c>
      <c r="B612" s="11"/>
      <c r="E612" s="11">
        <v>21</v>
      </c>
      <c r="F612" s="11"/>
      <c r="G612" s="90"/>
      <c r="H612" s="59"/>
      <c r="I612" s="90"/>
      <c r="J612" s="59"/>
      <c r="L612" s="90"/>
      <c r="M612" s="59"/>
    </row>
    <row r="613" spans="1:13" ht="12">
      <c r="A613" s="11">
        <v>22</v>
      </c>
      <c r="B613" s="11"/>
      <c r="E613" s="11">
        <v>22</v>
      </c>
      <c r="F613" s="11"/>
      <c r="G613" s="68"/>
      <c r="H613" s="59"/>
      <c r="I613" s="68"/>
      <c r="J613" s="59"/>
      <c r="L613" s="68"/>
      <c r="M613" s="59"/>
    </row>
    <row r="614" spans="1:13" ht="12">
      <c r="A614" s="11">
        <v>23</v>
      </c>
      <c r="B614" s="11"/>
      <c r="C614" s="12"/>
      <c r="D614" s="81"/>
      <c r="E614" s="11">
        <v>23</v>
      </c>
      <c r="F614" s="11"/>
      <c r="H614" s="90"/>
      <c r="J614" s="59"/>
      <c r="M614" s="59"/>
    </row>
    <row r="615" spans="1:13" ht="12">
      <c r="A615" s="11">
        <v>24</v>
      </c>
      <c r="B615" s="11"/>
      <c r="D615" s="81"/>
      <c r="E615" s="11">
        <v>24</v>
      </c>
      <c r="F615" s="11"/>
      <c r="H615" s="90"/>
      <c r="J615" s="59"/>
      <c r="M615" s="59"/>
    </row>
    <row r="616" spans="7:13" ht="12">
      <c r="G616" s="90" t="s">
        <v>1</v>
      </c>
      <c r="H616" s="90" t="s">
        <v>1</v>
      </c>
      <c r="I616" s="90" t="s">
        <v>1</v>
      </c>
      <c r="J616" s="90" t="s">
        <v>1</v>
      </c>
      <c r="L616" s="90" t="s">
        <v>1</v>
      </c>
      <c r="M616" s="90" t="s">
        <v>1</v>
      </c>
    </row>
    <row r="617" spans="1:13" ht="12">
      <c r="A617" s="11">
        <v>25</v>
      </c>
      <c r="B617" s="11"/>
      <c r="C617" s="12" t="s">
        <v>425</v>
      </c>
      <c r="E617" s="11">
        <v>25</v>
      </c>
      <c r="F617" s="11"/>
      <c r="G617" s="36">
        <f>G601</f>
        <v>526.7</v>
      </c>
      <c r="H617" s="55">
        <f>SUM(H601:H615)-H609</f>
        <v>49777361.99</v>
      </c>
      <c r="I617" s="36">
        <f>I601</f>
        <v>553.1</v>
      </c>
      <c r="J617" s="55">
        <f>SUM(J601:J615)-J609</f>
        <v>55439874.69999999</v>
      </c>
      <c r="L617" s="36">
        <f>L601</f>
        <v>552.5999999999999</v>
      </c>
      <c r="M617" s="59">
        <f>SUM(M601:M615)-M609</f>
        <v>58139308</v>
      </c>
    </row>
    <row r="618" spans="5:13" ht="12">
      <c r="E618" s="50"/>
      <c r="F618" s="50"/>
      <c r="G618" s="90" t="s">
        <v>1</v>
      </c>
      <c r="H618" s="90" t="s">
        <v>1</v>
      </c>
      <c r="I618" s="90" t="s">
        <v>1</v>
      </c>
      <c r="J618" s="90" t="s">
        <v>1</v>
      </c>
      <c r="L618" s="90" t="s">
        <v>1</v>
      </c>
      <c r="M618" s="90" t="s">
        <v>1</v>
      </c>
    </row>
    <row r="619" spans="1:2" ht="12">
      <c r="A619" s="12"/>
      <c r="B619" s="12"/>
    </row>
    <row r="621" spans="1:13" ht="12">
      <c r="A621" s="16" t="s">
        <v>320</v>
      </c>
      <c r="B621" s="16"/>
      <c r="E621" s="50"/>
      <c r="F621" s="50"/>
      <c r="G621" s="5"/>
      <c r="H621" s="59"/>
      <c r="I621" s="5"/>
      <c r="J621" s="59"/>
      <c r="K621" s="5"/>
      <c r="L621" s="5"/>
      <c r="M621" s="146" t="s">
        <v>41</v>
      </c>
    </row>
    <row r="622" spans="1:13" ht="12">
      <c r="A622" s="268" t="s">
        <v>152</v>
      </c>
      <c r="B622" s="268"/>
      <c r="C622" s="268"/>
      <c r="D622" s="268"/>
      <c r="E622" s="268"/>
      <c r="F622" s="268"/>
      <c r="G622" s="268"/>
      <c r="H622" s="268"/>
      <c r="I622" s="268"/>
      <c r="J622" s="268"/>
      <c r="K622" s="268"/>
      <c r="L622" s="268"/>
      <c r="M622" s="268"/>
    </row>
    <row r="623" spans="1:13" ht="12">
      <c r="A623" s="16" t="s">
        <v>292</v>
      </c>
      <c r="B623" s="16"/>
      <c r="G623" s="5"/>
      <c r="H623" s="59"/>
      <c r="I623" s="34"/>
      <c r="J623" s="210"/>
      <c r="K623" s="5"/>
      <c r="L623" s="5"/>
      <c r="M623" s="207" t="s">
        <v>293</v>
      </c>
    </row>
    <row r="624" spans="1:13" ht="12">
      <c r="A624" s="21" t="s">
        <v>1</v>
      </c>
      <c r="B624" s="21"/>
      <c r="C624" s="21" t="s">
        <v>1</v>
      </c>
      <c r="D624" s="21" t="s">
        <v>1</v>
      </c>
      <c r="E624" s="21" t="s">
        <v>1</v>
      </c>
      <c r="F624" s="21"/>
      <c r="G624" s="21" t="s">
        <v>1</v>
      </c>
      <c r="H624" s="21" t="s">
        <v>1</v>
      </c>
      <c r="I624" s="21" t="s">
        <v>1</v>
      </c>
      <c r="J624" s="21" t="s">
        <v>1</v>
      </c>
      <c r="L624" s="21" t="s">
        <v>1</v>
      </c>
      <c r="M624" s="21" t="s">
        <v>1</v>
      </c>
    </row>
    <row r="625" spans="1:13" ht="12">
      <c r="A625" s="24" t="s">
        <v>2</v>
      </c>
      <c r="B625" s="24"/>
      <c r="E625" s="24" t="s">
        <v>2</v>
      </c>
      <c r="F625" s="24"/>
      <c r="G625" s="149"/>
      <c r="H625" s="130" t="s">
        <v>249</v>
      </c>
      <c r="I625" s="142"/>
      <c r="J625" s="130" t="s">
        <v>251</v>
      </c>
      <c r="L625" s="68"/>
      <c r="M625" s="130" t="s">
        <v>260</v>
      </c>
    </row>
    <row r="626" spans="1:13" ht="12">
      <c r="A626" s="24" t="s">
        <v>4</v>
      </c>
      <c r="B626" s="24"/>
      <c r="C626" s="28" t="s">
        <v>20</v>
      </c>
      <c r="E626" s="24" t="s">
        <v>4</v>
      </c>
      <c r="F626" s="24"/>
      <c r="G626" s="149" t="s">
        <v>6</v>
      </c>
      <c r="H626" s="130" t="s">
        <v>7</v>
      </c>
      <c r="I626" s="149" t="s">
        <v>6</v>
      </c>
      <c r="J626" s="130" t="s">
        <v>7</v>
      </c>
      <c r="L626" s="149" t="s">
        <v>6</v>
      </c>
      <c r="M626" s="130" t="s">
        <v>8</v>
      </c>
    </row>
    <row r="627" spans="1:13" ht="12">
      <c r="A627" s="21" t="s">
        <v>1</v>
      </c>
      <c r="B627" s="21"/>
      <c r="C627" s="21" t="s">
        <v>1</v>
      </c>
      <c r="D627" s="21" t="s">
        <v>1</v>
      </c>
      <c r="E627" s="21" t="s">
        <v>1</v>
      </c>
      <c r="F627" s="21"/>
      <c r="G627" s="21" t="s">
        <v>1</v>
      </c>
      <c r="H627" s="21" t="s">
        <v>1</v>
      </c>
      <c r="I627" s="21" t="s">
        <v>1</v>
      </c>
      <c r="J627" s="21" t="s">
        <v>1</v>
      </c>
      <c r="L627" s="21" t="s">
        <v>1</v>
      </c>
      <c r="M627" s="143" t="s">
        <v>1</v>
      </c>
    </row>
    <row r="628" spans="1:13" ht="12">
      <c r="A628" s="11">
        <v>1</v>
      </c>
      <c r="B628" s="11"/>
      <c r="C628" s="12" t="s">
        <v>36</v>
      </c>
      <c r="E628" s="11">
        <v>1</v>
      </c>
      <c r="F628" s="11"/>
      <c r="G628" s="151">
        <f>79.2</f>
        <v>79.2</v>
      </c>
      <c r="H628" s="88">
        <f>5089654.58</f>
        <v>5089654.58</v>
      </c>
      <c r="I628" s="151">
        <f>88.3</f>
        <v>88.3</v>
      </c>
      <c r="J628" s="88">
        <f>5964323.95</f>
        <v>5964323.95</v>
      </c>
      <c r="L628" s="151">
        <f>89.8</f>
        <v>89.8</v>
      </c>
      <c r="M628" s="88">
        <f>6382937</f>
        <v>6382937</v>
      </c>
    </row>
    <row r="629" spans="1:13" ht="12">
      <c r="A629" s="11">
        <v>2</v>
      </c>
      <c r="B629" s="11"/>
      <c r="C629" s="12" t="s">
        <v>37</v>
      </c>
      <c r="E629" s="11">
        <v>2</v>
      </c>
      <c r="F629" s="11"/>
      <c r="G629" s="151"/>
      <c r="H629" s="88">
        <f>1243743.95</f>
        <v>1243743.95</v>
      </c>
      <c r="I629" s="151"/>
      <c r="J629" s="88">
        <f>1616005.65</f>
        <v>1616005.65</v>
      </c>
      <c r="L629" s="151"/>
      <c r="M629" s="88">
        <f>1770795</f>
        <v>1770795</v>
      </c>
    </row>
    <row r="630" spans="1:13" ht="12">
      <c r="A630" s="11">
        <v>3</v>
      </c>
      <c r="B630" s="11"/>
      <c r="E630" s="11">
        <v>3</v>
      </c>
      <c r="F630" s="11"/>
      <c r="G630" s="151"/>
      <c r="H630" s="88"/>
      <c r="I630" s="151"/>
      <c r="J630" s="88"/>
      <c r="L630" s="151"/>
      <c r="M630" s="88"/>
    </row>
    <row r="631" spans="1:13" ht="12">
      <c r="A631" s="11">
        <v>4</v>
      </c>
      <c r="B631" s="11"/>
      <c r="C631" s="12" t="s">
        <v>23</v>
      </c>
      <c r="E631" s="11">
        <v>4</v>
      </c>
      <c r="F631" s="11"/>
      <c r="G631" s="68">
        <f>G628</f>
        <v>79.2</v>
      </c>
      <c r="H631" s="59">
        <f>SUM(H628:H629)</f>
        <v>6333398.53</v>
      </c>
      <c r="I631" s="68">
        <f>I628</f>
        <v>88.3</v>
      </c>
      <c r="J631" s="59">
        <f>SUM(J628:J629)</f>
        <v>7580329.6</v>
      </c>
      <c r="L631" s="68">
        <f>L628</f>
        <v>89.8</v>
      </c>
      <c r="M631" s="59">
        <f>SUM(M628:M629)</f>
        <v>8153732</v>
      </c>
    </row>
    <row r="632" spans="1:13" ht="12">
      <c r="A632" s="11">
        <v>5</v>
      </c>
      <c r="B632" s="11"/>
      <c r="E632" s="11">
        <v>5</v>
      </c>
      <c r="F632" s="11"/>
      <c r="G632" s="68"/>
      <c r="H632" s="59"/>
      <c r="I632" s="68"/>
      <c r="J632" s="59"/>
      <c r="L632" s="153"/>
      <c r="M632" s="59"/>
    </row>
    <row r="633" spans="1:13" ht="12">
      <c r="A633" s="11">
        <v>6</v>
      </c>
      <c r="B633" s="11"/>
      <c r="E633" s="11">
        <v>6</v>
      </c>
      <c r="F633" s="11"/>
      <c r="G633" s="68"/>
      <c r="H633" s="59"/>
      <c r="I633" s="68"/>
      <c r="J633" s="59"/>
      <c r="L633" s="153"/>
      <c r="M633" s="59"/>
    </row>
    <row r="634" spans="1:13" ht="12">
      <c r="A634" s="11">
        <v>7</v>
      </c>
      <c r="B634" s="11"/>
      <c r="C634" s="12" t="s">
        <v>25</v>
      </c>
      <c r="E634" s="11">
        <v>7</v>
      </c>
      <c r="F634" s="11"/>
      <c r="G634" s="151">
        <f>135.9</f>
        <v>135.9</v>
      </c>
      <c r="H634" s="88">
        <f>6947318.7</f>
        <v>6947318.7</v>
      </c>
      <c r="I634" s="151">
        <f>132.7</f>
        <v>132.7</v>
      </c>
      <c r="J634" s="88">
        <f>7127445.72</f>
        <v>7127445.72</v>
      </c>
      <c r="L634" s="151">
        <f>133.2</f>
        <v>133.2</v>
      </c>
      <c r="M634" s="88">
        <f>7536929</f>
        <v>7536929</v>
      </c>
    </row>
    <row r="635" spans="1:13" ht="12">
      <c r="A635" s="11">
        <v>8</v>
      </c>
      <c r="B635" s="11"/>
      <c r="C635" s="12" t="s">
        <v>26</v>
      </c>
      <c r="E635" s="11">
        <v>8</v>
      </c>
      <c r="F635" s="11"/>
      <c r="G635" s="151"/>
      <c r="H635" s="88">
        <f>1443887.26</f>
        <v>1443887.26</v>
      </c>
      <c r="I635" s="151"/>
      <c r="J635" s="88">
        <f>1822612.49</f>
        <v>1822612.49</v>
      </c>
      <c r="L635" s="151"/>
      <c r="M635" s="88">
        <f>2053477</f>
        <v>2053477</v>
      </c>
    </row>
    <row r="636" spans="1:13" ht="12">
      <c r="A636" s="11">
        <v>9</v>
      </c>
      <c r="B636" s="11"/>
      <c r="C636" s="12" t="s">
        <v>27</v>
      </c>
      <c r="E636" s="11">
        <v>9</v>
      </c>
      <c r="F636" s="11"/>
      <c r="G636" s="36">
        <f>G634</f>
        <v>135.9</v>
      </c>
      <c r="H636" s="59">
        <f>SUM(H634:H635)</f>
        <v>8391205.96</v>
      </c>
      <c r="I636" s="36">
        <f>I634</f>
        <v>132.7</v>
      </c>
      <c r="J636" s="59">
        <f>SUM(J634:J635)</f>
        <v>8950058.209999999</v>
      </c>
      <c r="L636" s="36">
        <f>L634</f>
        <v>133.2</v>
      </c>
      <c r="M636" s="59">
        <f>SUM(M634:M635)</f>
        <v>9590406</v>
      </c>
    </row>
    <row r="637" spans="1:13" ht="12">
      <c r="A637" s="11">
        <v>10</v>
      </c>
      <c r="B637" s="11"/>
      <c r="E637" s="11">
        <v>10</v>
      </c>
      <c r="F637" s="11"/>
      <c r="G637" s="68"/>
      <c r="H637" s="59"/>
      <c r="I637" s="68"/>
      <c r="J637" s="59"/>
      <c r="L637" s="68"/>
      <c r="M637" s="59"/>
    </row>
    <row r="638" spans="1:13" ht="12">
      <c r="A638" s="11">
        <v>11</v>
      </c>
      <c r="B638" s="11"/>
      <c r="C638" s="12" t="s">
        <v>28</v>
      </c>
      <c r="E638" s="11">
        <v>11</v>
      </c>
      <c r="F638" s="11"/>
      <c r="G638" s="68">
        <f aca="true" t="shared" si="34" ref="G638:M638">SUM(G636,G631)</f>
        <v>215.10000000000002</v>
      </c>
      <c r="H638" s="59">
        <f t="shared" si="34"/>
        <v>14724604.490000002</v>
      </c>
      <c r="I638" s="68">
        <f t="shared" si="34"/>
        <v>221</v>
      </c>
      <c r="J638" s="59">
        <f t="shared" si="34"/>
        <v>16530387.809999999</v>
      </c>
      <c r="L638" s="68">
        <f>SUM(L636,L631)</f>
        <v>223</v>
      </c>
      <c r="M638" s="59">
        <f t="shared" si="34"/>
        <v>17744138</v>
      </c>
    </row>
    <row r="639" spans="1:6" ht="12">
      <c r="A639" s="11">
        <v>12</v>
      </c>
      <c r="B639" s="11"/>
      <c r="E639" s="11">
        <v>12</v>
      </c>
      <c r="F639" s="11"/>
    </row>
    <row r="640" spans="1:13" ht="12">
      <c r="A640" s="11">
        <v>13</v>
      </c>
      <c r="B640" s="11"/>
      <c r="C640" s="12" t="s">
        <v>38</v>
      </c>
      <c r="E640" s="11">
        <v>13</v>
      </c>
      <c r="F640" s="11"/>
      <c r="G640" s="151">
        <f>2+30.5</f>
        <v>32.5</v>
      </c>
      <c r="H640" s="88">
        <f>68489.33+535341.56+46704.54+1889.97</f>
        <v>652425.4</v>
      </c>
      <c r="I640" s="151">
        <f>2+30.9</f>
        <v>32.9</v>
      </c>
      <c r="J640" s="88">
        <f>72211.16+609731.46+37330.8+2187.48</f>
        <v>721460.9</v>
      </c>
      <c r="L640" s="151">
        <f>1.9+31.3</f>
        <v>33.2</v>
      </c>
      <c r="M640" s="88">
        <f>741694</f>
        <v>741694</v>
      </c>
    </row>
    <row r="641" spans="1:13" ht="12">
      <c r="A641" s="11">
        <v>14</v>
      </c>
      <c r="B641" s="11"/>
      <c r="E641" s="11">
        <v>14</v>
      </c>
      <c r="F641" s="11"/>
      <c r="G641" s="151"/>
      <c r="H641" s="13"/>
      <c r="I641" s="151"/>
      <c r="J641" s="13"/>
      <c r="L641" s="151"/>
      <c r="M641" s="13"/>
    </row>
    <row r="642" spans="1:13" ht="12">
      <c r="A642" s="11">
        <v>15</v>
      </c>
      <c r="B642" s="11"/>
      <c r="C642" s="12" t="s">
        <v>30</v>
      </c>
      <c r="E642" s="11">
        <v>15</v>
      </c>
      <c r="F642" s="11"/>
      <c r="G642" s="151"/>
      <c r="H642" s="88">
        <f>297584.81</f>
        <v>297584.81</v>
      </c>
      <c r="I642" s="151"/>
      <c r="J642" s="88">
        <f>344226.49</f>
        <v>344226.49</v>
      </c>
      <c r="L642" s="151"/>
      <c r="M642" s="88">
        <f>359892</f>
        <v>359892</v>
      </c>
    </row>
    <row r="643" spans="1:13" ht="12">
      <c r="A643" s="11">
        <v>16</v>
      </c>
      <c r="B643" s="11"/>
      <c r="C643" s="12" t="s">
        <v>31</v>
      </c>
      <c r="E643" s="11">
        <v>16</v>
      </c>
      <c r="F643" s="11"/>
      <c r="G643" s="151"/>
      <c r="H643" s="88">
        <f>-365350+3321577.95+8400</f>
        <v>2964627.95</v>
      </c>
      <c r="I643" s="151"/>
      <c r="J643" s="88">
        <f>-427739.88+3352966.59-80150.51</f>
        <v>2845076.2</v>
      </c>
      <c r="L643" s="151"/>
      <c r="M643" s="88">
        <f>2912613</f>
        <v>2912613</v>
      </c>
    </row>
    <row r="644" spans="1:13" ht="12">
      <c r="A644" s="11"/>
      <c r="B644" s="11"/>
      <c r="C644" s="12"/>
      <c r="E644" s="11"/>
      <c r="F644" s="11"/>
      <c r="G644" s="151"/>
      <c r="H644" s="88"/>
      <c r="I644" s="151"/>
      <c r="J644" s="88"/>
      <c r="L644" s="151"/>
      <c r="M644" s="88"/>
    </row>
    <row r="645" spans="1:13" ht="12">
      <c r="A645" s="11">
        <v>17</v>
      </c>
      <c r="B645" s="11"/>
      <c r="C645" s="12" t="s">
        <v>32</v>
      </c>
      <c r="E645" s="11">
        <v>17</v>
      </c>
      <c r="F645" s="11"/>
      <c r="G645" s="151"/>
      <c r="H645" s="88"/>
      <c r="I645" s="151"/>
      <c r="J645" s="88"/>
      <c r="L645" s="151"/>
      <c r="M645" s="88"/>
    </row>
    <row r="646" spans="1:13" ht="12">
      <c r="A646" s="11">
        <v>18</v>
      </c>
      <c r="B646" s="11"/>
      <c r="C646" s="7" t="s">
        <v>415</v>
      </c>
      <c r="E646" s="11">
        <v>18</v>
      </c>
      <c r="F646" s="11"/>
      <c r="G646" s="151"/>
      <c r="H646" s="88"/>
      <c r="I646" s="151"/>
      <c r="J646" s="88"/>
      <c r="L646" s="151"/>
      <c r="M646" s="88"/>
    </row>
    <row r="647" spans="1:13" ht="12">
      <c r="A647" s="11">
        <v>19</v>
      </c>
      <c r="B647" s="11"/>
      <c r="C647" s="12" t="s">
        <v>42</v>
      </c>
      <c r="E647" s="11">
        <v>19</v>
      </c>
      <c r="F647" s="11"/>
      <c r="G647" s="151"/>
      <c r="H647" s="88"/>
      <c r="I647" s="151"/>
      <c r="J647" s="88"/>
      <c r="L647" s="151"/>
      <c r="M647" s="88"/>
    </row>
    <row r="648" spans="1:13" ht="12">
      <c r="A648" s="11">
        <v>20</v>
      </c>
      <c r="B648" s="11"/>
      <c r="E648" s="11">
        <v>20</v>
      </c>
      <c r="F648" s="11"/>
      <c r="G648" s="90"/>
      <c r="H648" s="90"/>
      <c r="I648" s="90"/>
      <c r="J648" s="90"/>
      <c r="L648" s="90"/>
      <c r="M648" s="90"/>
    </row>
    <row r="649" spans="1:13" ht="12">
      <c r="A649" s="11">
        <v>21</v>
      </c>
      <c r="B649" s="11"/>
      <c r="E649" s="11">
        <v>21</v>
      </c>
      <c r="F649" s="11"/>
      <c r="H649" s="90"/>
      <c r="I649" s="90"/>
      <c r="J649" s="59"/>
      <c r="L649" s="90"/>
      <c r="M649" s="59"/>
    </row>
    <row r="650" spans="1:13" ht="12">
      <c r="A650" s="11">
        <v>22</v>
      </c>
      <c r="B650" s="11"/>
      <c r="E650" s="11">
        <v>22</v>
      </c>
      <c r="F650" s="11"/>
      <c r="H650" s="90"/>
      <c r="I650" s="68"/>
      <c r="J650" s="59"/>
      <c r="L650" s="68"/>
      <c r="M650" s="59"/>
    </row>
    <row r="651" spans="1:13" ht="12">
      <c r="A651" s="11">
        <v>23</v>
      </c>
      <c r="B651" s="11"/>
      <c r="D651" s="81"/>
      <c r="E651" s="11">
        <v>23</v>
      </c>
      <c r="F651" s="11"/>
      <c r="H651" s="90"/>
      <c r="J651" s="59"/>
      <c r="M651" s="59"/>
    </row>
    <row r="652" spans="1:13" ht="12">
      <c r="A652" s="11">
        <v>24</v>
      </c>
      <c r="B652" s="11"/>
      <c r="D652" s="81"/>
      <c r="E652" s="11">
        <v>24</v>
      </c>
      <c r="F652" s="11"/>
      <c r="H652" s="90"/>
      <c r="J652" s="59"/>
      <c r="M652" s="59"/>
    </row>
    <row r="653" spans="7:13" ht="12">
      <c r="G653" s="90" t="s">
        <v>1</v>
      </c>
      <c r="H653" s="90" t="s">
        <v>1</v>
      </c>
      <c r="I653" s="90" t="s">
        <v>1</v>
      </c>
      <c r="J653" s="90" t="s">
        <v>1</v>
      </c>
      <c r="L653" s="90" t="s">
        <v>1</v>
      </c>
      <c r="M653" s="90" t="s">
        <v>1</v>
      </c>
    </row>
    <row r="654" spans="1:13" ht="12">
      <c r="A654" s="11">
        <v>25</v>
      </c>
      <c r="B654" s="11"/>
      <c r="C654" s="12" t="s">
        <v>426</v>
      </c>
      <c r="E654" s="11">
        <v>25</v>
      </c>
      <c r="F654" s="11"/>
      <c r="G654" s="36">
        <f>G638</f>
        <v>215.10000000000002</v>
      </c>
      <c r="H654" s="55">
        <f>SUM(H638:H652)</f>
        <v>18639242.650000002</v>
      </c>
      <c r="I654" s="36">
        <f>I638</f>
        <v>221</v>
      </c>
      <c r="J654" s="55">
        <f>SUM(J638:J652)</f>
        <v>20441151.399999995</v>
      </c>
      <c r="L654" s="36">
        <f>L638</f>
        <v>223</v>
      </c>
      <c r="M654" s="59">
        <f>SUM(M638:M652)</f>
        <v>21758337</v>
      </c>
    </row>
    <row r="655" spans="5:13" ht="12">
      <c r="E655" s="50"/>
      <c r="F655" s="50"/>
      <c r="G655" s="90" t="s">
        <v>1</v>
      </c>
      <c r="H655" s="90" t="s">
        <v>1</v>
      </c>
      <c r="I655" s="90" t="s">
        <v>1</v>
      </c>
      <c r="J655" s="90" t="s">
        <v>1</v>
      </c>
      <c r="L655" s="90" t="s">
        <v>1</v>
      </c>
      <c r="M655" s="90" t="s">
        <v>1</v>
      </c>
    </row>
    <row r="657" spans="1:2" ht="12">
      <c r="A657" s="12"/>
      <c r="B657" s="12"/>
    </row>
    <row r="658" spans="1:13" ht="12">
      <c r="A658" s="16" t="s">
        <v>320</v>
      </c>
      <c r="B658" s="16"/>
      <c r="E658" s="50"/>
      <c r="F658" s="50"/>
      <c r="G658" s="5"/>
      <c r="H658" s="59"/>
      <c r="I658" s="5"/>
      <c r="J658" s="59"/>
      <c r="K658" s="5"/>
      <c r="L658" s="5"/>
      <c r="M658" s="146" t="s">
        <v>43</v>
      </c>
    </row>
    <row r="659" spans="1:13" ht="12">
      <c r="A659" s="268" t="s">
        <v>427</v>
      </c>
      <c r="B659" s="268"/>
      <c r="C659" s="268"/>
      <c r="D659" s="268"/>
      <c r="E659" s="268"/>
      <c r="F659" s="268"/>
      <c r="G659" s="268"/>
      <c r="H659" s="268"/>
      <c r="I659" s="268"/>
      <c r="J659" s="268"/>
      <c r="K659" s="268"/>
      <c r="L659" s="268"/>
      <c r="M659" s="268"/>
    </row>
    <row r="660" spans="1:13" ht="12">
      <c r="A660" s="16" t="s">
        <v>292</v>
      </c>
      <c r="B660" s="16"/>
      <c r="G660" s="5"/>
      <c r="H660" s="34"/>
      <c r="I660" s="92"/>
      <c r="J660" s="59"/>
      <c r="K660" s="5"/>
      <c r="L660" s="5"/>
      <c r="M660" s="207" t="s">
        <v>293</v>
      </c>
    </row>
    <row r="661" spans="1:13" ht="12">
      <c r="A661" s="21" t="s">
        <v>1</v>
      </c>
      <c r="B661" s="21"/>
      <c r="C661" s="21" t="s">
        <v>1</v>
      </c>
      <c r="D661" s="21" t="s">
        <v>1</v>
      </c>
      <c r="E661" s="21" t="s">
        <v>1</v>
      </c>
      <c r="F661" s="21"/>
      <c r="G661" s="21" t="s">
        <v>1</v>
      </c>
      <c r="H661" s="21" t="s">
        <v>1</v>
      </c>
      <c r="I661" s="21" t="s">
        <v>1</v>
      </c>
      <c r="J661" s="21" t="s">
        <v>1</v>
      </c>
      <c r="L661" s="21" t="s">
        <v>1</v>
      </c>
      <c r="M661" s="21" t="s">
        <v>1</v>
      </c>
    </row>
    <row r="662" spans="1:13" ht="12">
      <c r="A662" s="24" t="s">
        <v>2</v>
      </c>
      <c r="B662" s="24"/>
      <c r="E662" s="24" t="s">
        <v>2</v>
      </c>
      <c r="F662" s="24"/>
      <c r="G662" s="149"/>
      <c r="H662" s="130" t="s">
        <v>249</v>
      </c>
      <c r="I662" s="142"/>
      <c r="J662" s="130" t="s">
        <v>251</v>
      </c>
      <c r="L662" s="68"/>
      <c r="M662" s="130" t="s">
        <v>260</v>
      </c>
    </row>
    <row r="663" spans="1:13" ht="12">
      <c r="A663" s="24" t="s">
        <v>4</v>
      </c>
      <c r="B663" s="24"/>
      <c r="C663" s="28" t="s">
        <v>20</v>
      </c>
      <c r="E663" s="24" t="s">
        <v>4</v>
      </c>
      <c r="F663" s="24"/>
      <c r="G663" s="149" t="s">
        <v>6</v>
      </c>
      <c r="H663" s="130" t="s">
        <v>7</v>
      </c>
      <c r="I663" s="149" t="s">
        <v>6</v>
      </c>
      <c r="J663" s="130" t="s">
        <v>7</v>
      </c>
      <c r="L663" s="149" t="s">
        <v>6</v>
      </c>
      <c r="M663" s="130" t="s">
        <v>8</v>
      </c>
    </row>
    <row r="664" spans="1:13" ht="12">
      <c r="A664" s="21" t="s">
        <v>1</v>
      </c>
      <c r="B664" s="21"/>
      <c r="C664" s="21" t="s">
        <v>1</v>
      </c>
      <c r="D664" s="21" t="s">
        <v>1</v>
      </c>
      <c r="E664" s="21" t="s">
        <v>1</v>
      </c>
      <c r="F664" s="21"/>
      <c r="G664" s="21" t="s">
        <v>1</v>
      </c>
      <c r="H664" s="21" t="s">
        <v>1</v>
      </c>
      <c r="I664" s="21" t="s">
        <v>1</v>
      </c>
      <c r="J664" s="21" t="s">
        <v>1</v>
      </c>
      <c r="L664" s="21" t="s">
        <v>1</v>
      </c>
      <c r="M664" s="143" t="s">
        <v>1</v>
      </c>
    </row>
    <row r="665" spans="1:13" ht="12">
      <c r="A665" s="11">
        <v>1</v>
      </c>
      <c r="B665" s="11"/>
      <c r="C665" s="12" t="s">
        <v>36</v>
      </c>
      <c r="E665" s="11">
        <v>1</v>
      </c>
      <c r="F665" s="11"/>
      <c r="G665" s="151">
        <f>52.3+62.02</f>
        <v>114.32</v>
      </c>
      <c r="H665" s="88">
        <f>5251985.39+4706279</f>
        <v>9958264.39</v>
      </c>
      <c r="I665" s="151">
        <f>56+63.72</f>
        <v>119.72</v>
      </c>
      <c r="J665" s="88">
        <f>5906906.37+5095509</f>
        <v>11002415.370000001</v>
      </c>
      <c r="L665" s="151">
        <f>51.5+63.78</f>
        <v>115.28</v>
      </c>
      <c r="M665" s="88">
        <f>5727417+5842786</f>
        <v>11570203</v>
      </c>
    </row>
    <row r="666" spans="1:13" ht="12">
      <c r="A666" s="11">
        <v>2</v>
      </c>
      <c r="B666" s="11"/>
      <c r="C666" s="12" t="s">
        <v>37</v>
      </c>
      <c r="E666" s="11">
        <v>2</v>
      </c>
      <c r="F666" s="11"/>
      <c r="G666" s="151"/>
      <c r="H666" s="88">
        <f>1282826.43+869153</f>
        <v>2151979.4299999997</v>
      </c>
      <c r="I666" s="151"/>
      <c r="J666" s="88">
        <f>1599232.01+920645</f>
        <v>2519877.01</v>
      </c>
      <c r="L666" s="151"/>
      <c r="M666" s="88">
        <f>1661054+1357186</f>
        <v>3018240</v>
      </c>
    </row>
    <row r="667" spans="1:13" ht="12">
      <c r="A667" s="11">
        <v>3</v>
      </c>
      <c r="B667" s="11"/>
      <c r="E667" s="11">
        <v>3</v>
      </c>
      <c r="F667" s="11"/>
      <c r="G667" s="151"/>
      <c r="H667" s="88"/>
      <c r="I667" s="151"/>
      <c r="J667" s="88"/>
      <c r="L667" s="151"/>
      <c r="M667" s="88"/>
    </row>
    <row r="668" spans="1:13" ht="12">
      <c r="A668" s="11">
        <v>4</v>
      </c>
      <c r="B668" s="11"/>
      <c r="C668" s="12" t="s">
        <v>23</v>
      </c>
      <c r="E668" s="11">
        <v>4</v>
      </c>
      <c r="F668" s="11"/>
      <c r="G668" s="68">
        <f>G665</f>
        <v>114.32</v>
      </c>
      <c r="H668" s="59">
        <f>SUM(H665:H666)</f>
        <v>12110243.82</v>
      </c>
      <c r="I668" s="68">
        <f>I665</f>
        <v>119.72</v>
      </c>
      <c r="J668" s="59">
        <f>SUM(J665:J666)</f>
        <v>13522292.38</v>
      </c>
      <c r="L668" s="68">
        <f>L665</f>
        <v>115.28</v>
      </c>
      <c r="M668" s="59">
        <f>SUM(M665:M666)</f>
        <v>14588443</v>
      </c>
    </row>
    <row r="669" spans="1:13" ht="12">
      <c r="A669" s="11">
        <v>5</v>
      </c>
      <c r="B669" s="11"/>
      <c r="E669" s="11">
        <v>5</v>
      </c>
      <c r="F669" s="11"/>
      <c r="G669" s="68"/>
      <c r="H669" s="59"/>
      <c r="I669" s="68"/>
      <c r="J669" s="59"/>
      <c r="L669" s="153"/>
      <c r="M669" s="59"/>
    </row>
    <row r="670" spans="1:13" ht="12">
      <c r="A670" s="11">
        <v>6</v>
      </c>
      <c r="B670" s="11"/>
      <c r="E670" s="11">
        <v>6</v>
      </c>
      <c r="F670" s="11"/>
      <c r="G670" s="68"/>
      <c r="H670" s="59"/>
      <c r="I670" s="68"/>
      <c r="J670" s="59"/>
      <c r="L670" s="68"/>
      <c r="M670" s="59"/>
    </row>
    <row r="671" spans="1:13" ht="12">
      <c r="A671" s="11">
        <v>7</v>
      </c>
      <c r="B671" s="11"/>
      <c r="C671" s="12" t="s">
        <v>25</v>
      </c>
      <c r="E671" s="11">
        <v>7</v>
      </c>
      <c r="F671" s="11"/>
      <c r="G671" s="151">
        <f>135.4+93.96</f>
        <v>229.36</v>
      </c>
      <c r="H671" s="88">
        <f>6949463.03+5617837</f>
        <v>12567300.030000001</v>
      </c>
      <c r="I671" s="151">
        <f>142.6+107.18</f>
        <v>249.78</v>
      </c>
      <c r="J671" s="88">
        <f>7696434.86+5570373</f>
        <v>13266807.86</v>
      </c>
      <c r="L671" s="151">
        <f>131.1+105.84</f>
        <v>236.94</v>
      </c>
      <c r="M671" s="88">
        <f>7448307+6430392</f>
        <v>13878699</v>
      </c>
    </row>
    <row r="672" spans="1:13" ht="12">
      <c r="A672" s="11">
        <v>8</v>
      </c>
      <c r="B672" s="11"/>
      <c r="C672" s="12" t="s">
        <v>26</v>
      </c>
      <c r="E672" s="11">
        <v>8</v>
      </c>
      <c r="F672" s="11"/>
      <c r="G672" s="151"/>
      <c r="H672" s="88">
        <f>1464895.86+1197475</f>
        <v>2662370.8600000003</v>
      </c>
      <c r="I672" s="151"/>
      <c r="J672" s="88">
        <f>1977100.04+1295357</f>
        <v>3272457.04</v>
      </c>
      <c r="L672" s="151"/>
      <c r="M672" s="88">
        <f>2286259+1415069</f>
        <v>3701328</v>
      </c>
    </row>
    <row r="673" spans="1:13" ht="12">
      <c r="A673" s="11">
        <v>9</v>
      </c>
      <c r="B673" s="11"/>
      <c r="C673" s="12" t="s">
        <v>27</v>
      </c>
      <c r="E673" s="11">
        <v>9</v>
      </c>
      <c r="F673" s="11"/>
      <c r="G673" s="68">
        <f>G671</f>
        <v>229.36</v>
      </c>
      <c r="H673" s="59">
        <f>SUM(H671:H672)</f>
        <v>15229670.89</v>
      </c>
      <c r="I673" s="68">
        <f>I671</f>
        <v>249.78</v>
      </c>
      <c r="J673" s="59">
        <f>SUM(J671:J672)</f>
        <v>16539264.899999999</v>
      </c>
      <c r="L673" s="68">
        <f>L671</f>
        <v>236.94</v>
      </c>
      <c r="M673" s="59">
        <f>SUM(M671:M672)</f>
        <v>17580027</v>
      </c>
    </row>
    <row r="674" spans="1:6" ht="12">
      <c r="A674" s="11">
        <v>10</v>
      </c>
      <c r="B674" s="11"/>
      <c r="E674" s="11">
        <v>10</v>
      </c>
      <c r="F674" s="11"/>
    </row>
    <row r="675" spans="1:13" ht="12">
      <c r="A675" s="11">
        <v>11</v>
      </c>
      <c r="B675" s="11"/>
      <c r="C675" s="12" t="s">
        <v>28</v>
      </c>
      <c r="E675" s="11">
        <v>11</v>
      </c>
      <c r="F675" s="11"/>
      <c r="G675" s="68">
        <f aca="true" t="shared" si="35" ref="G675:M675">SUM(G673,G668)</f>
        <v>343.68</v>
      </c>
      <c r="H675" s="59">
        <f t="shared" si="35"/>
        <v>27339914.71</v>
      </c>
      <c r="I675" s="68">
        <f t="shared" si="35"/>
        <v>369.5</v>
      </c>
      <c r="J675" s="59">
        <f t="shared" si="35"/>
        <v>30061557.28</v>
      </c>
      <c r="L675" s="68">
        <f>SUM(L673,L668)</f>
        <v>352.22</v>
      </c>
      <c r="M675" s="59">
        <f t="shared" si="35"/>
        <v>32168470</v>
      </c>
    </row>
    <row r="676" spans="1:6" ht="12">
      <c r="A676" s="11">
        <v>12</v>
      </c>
      <c r="B676" s="11"/>
      <c r="E676" s="11">
        <v>12</v>
      </c>
      <c r="F676" s="11"/>
    </row>
    <row r="677" spans="1:13" ht="12">
      <c r="A677" s="11">
        <v>13</v>
      </c>
      <c r="B677" s="11"/>
      <c r="C677" s="12" t="s">
        <v>38</v>
      </c>
      <c r="E677" s="11">
        <v>13</v>
      </c>
      <c r="F677" s="11"/>
      <c r="G677" s="151">
        <f>6.5+6.36</f>
        <v>12.86</v>
      </c>
      <c r="H677" s="88">
        <f>149.69+120896.73+11.08+483.59+119083+533</f>
        <v>241157.09</v>
      </c>
      <c r="I677" s="151">
        <f>0.029+5.6+7.11</f>
        <v>12.739</v>
      </c>
      <c r="J677" s="88">
        <f>1050+110378.8+71.4+441.52+141135</f>
        <v>253076.72</v>
      </c>
      <c r="L677" s="151">
        <f>0+4.9+7.34</f>
        <v>12.24</v>
      </c>
      <c r="M677" s="88">
        <f>101957+714+160854</f>
        <v>263525</v>
      </c>
    </row>
    <row r="678" spans="1:13" ht="12">
      <c r="A678" s="11">
        <v>14</v>
      </c>
      <c r="B678" s="11"/>
      <c r="E678" s="11">
        <v>14</v>
      </c>
      <c r="F678" s="11"/>
      <c r="G678" s="151"/>
      <c r="H678" s="13"/>
      <c r="I678" s="151"/>
      <c r="J678" s="13"/>
      <c r="L678" s="151"/>
      <c r="M678" s="13"/>
    </row>
    <row r="679" spans="1:13" ht="12">
      <c r="A679" s="11">
        <v>15</v>
      </c>
      <c r="B679" s="11"/>
      <c r="C679" s="12" t="s">
        <v>30</v>
      </c>
      <c r="E679" s="11">
        <v>15</v>
      </c>
      <c r="F679" s="11"/>
      <c r="G679" s="151"/>
      <c r="H679" s="88">
        <f>142739.27</f>
        <v>142739.27</v>
      </c>
      <c r="I679" s="151"/>
      <c r="J679" s="88">
        <f>190300.52</f>
        <v>190300.52</v>
      </c>
      <c r="L679" s="151"/>
      <c r="M679" s="88">
        <f>157381</f>
        <v>157381</v>
      </c>
    </row>
    <row r="680" spans="1:13" ht="12">
      <c r="A680" s="11">
        <v>16</v>
      </c>
      <c r="B680" s="11"/>
      <c r="C680" s="12" t="s">
        <v>31</v>
      </c>
      <c r="E680" s="11">
        <v>16</v>
      </c>
      <c r="F680" s="11"/>
      <c r="G680" s="151"/>
      <c r="H680" s="88">
        <f>-243526.74+7135417.04+62972.67+7604870.08-12510360</f>
        <v>2049373.0500000007</v>
      </c>
      <c r="I680" s="151"/>
      <c r="J680" s="88">
        <f>-1062862.64+6961455.66+71399.87+7057167.37-13023019</f>
        <v>4141.260000001639</v>
      </c>
      <c r="L680" s="151"/>
      <c r="M680" s="88">
        <f>15374872-15206287</f>
        <v>168585</v>
      </c>
    </row>
    <row r="681" spans="1:13" ht="12">
      <c r="A681" s="11"/>
      <c r="B681" s="11"/>
      <c r="C681" s="12"/>
      <c r="E681" s="11"/>
      <c r="F681" s="11"/>
      <c r="G681" s="151"/>
      <c r="H681" s="88"/>
      <c r="I681" s="151"/>
      <c r="J681" s="88"/>
      <c r="L681" s="151"/>
      <c r="M681" s="88"/>
    </row>
    <row r="682" spans="1:13" ht="12">
      <c r="A682" s="11">
        <v>17</v>
      </c>
      <c r="B682" s="11"/>
      <c r="C682" s="12" t="s">
        <v>414</v>
      </c>
      <c r="E682" s="11">
        <v>17</v>
      </c>
      <c r="F682" s="11"/>
      <c r="G682" s="151"/>
      <c r="H682" s="88"/>
      <c r="I682" s="151"/>
      <c r="J682" s="88"/>
      <c r="L682" s="151"/>
      <c r="M682" s="88"/>
    </row>
    <row r="683" spans="1:13" ht="12">
      <c r="A683" s="11">
        <v>18</v>
      </c>
      <c r="B683" s="11"/>
      <c r="C683" s="7" t="s">
        <v>428</v>
      </c>
      <c r="E683" s="11">
        <v>18</v>
      </c>
      <c r="F683" s="11"/>
      <c r="G683" s="151"/>
      <c r="H683" s="88"/>
      <c r="I683" s="151"/>
      <c r="J683" s="88"/>
      <c r="L683" s="151"/>
      <c r="M683" s="88"/>
    </row>
    <row r="684" spans="1:13" ht="12">
      <c r="A684" s="11">
        <v>19</v>
      </c>
      <c r="B684" s="11"/>
      <c r="C684" s="12" t="s">
        <v>42</v>
      </c>
      <c r="E684" s="11">
        <v>19</v>
      </c>
      <c r="F684" s="11"/>
      <c r="G684" s="151"/>
      <c r="H684" s="88"/>
      <c r="I684" s="151"/>
      <c r="J684" s="88"/>
      <c r="L684" s="151"/>
      <c r="M684" s="88"/>
    </row>
    <row r="685" spans="1:13" ht="12">
      <c r="A685" s="11">
        <v>20</v>
      </c>
      <c r="B685" s="11"/>
      <c r="E685" s="11">
        <v>20</v>
      </c>
      <c r="F685" s="11"/>
      <c r="G685" s="90"/>
      <c r="H685" s="90"/>
      <c r="I685" s="90"/>
      <c r="J685" s="90"/>
      <c r="L685" s="90"/>
      <c r="M685" s="90"/>
    </row>
    <row r="686" spans="1:13" ht="12">
      <c r="A686" s="11">
        <v>21</v>
      </c>
      <c r="B686" s="11"/>
      <c r="E686" s="11">
        <v>21</v>
      </c>
      <c r="F686" s="11"/>
      <c r="H686" s="90"/>
      <c r="I686" s="90"/>
      <c r="J686" s="59"/>
      <c r="L686" s="90"/>
      <c r="M686" s="59"/>
    </row>
    <row r="687" spans="1:13" ht="12">
      <c r="A687" s="11">
        <v>22</v>
      </c>
      <c r="B687" s="11"/>
      <c r="E687" s="11">
        <v>22</v>
      </c>
      <c r="F687" s="11"/>
      <c r="H687" s="90"/>
      <c r="I687" s="68"/>
      <c r="J687" s="59"/>
      <c r="L687" s="68"/>
      <c r="M687" s="59"/>
    </row>
    <row r="688" spans="1:13" ht="12">
      <c r="A688" s="11">
        <v>23</v>
      </c>
      <c r="B688" s="11"/>
      <c r="D688" s="81"/>
      <c r="E688" s="11">
        <v>23</v>
      </c>
      <c r="F688" s="11"/>
      <c r="H688" s="90"/>
      <c r="J688" s="59"/>
      <c r="M688" s="59"/>
    </row>
    <row r="689" spans="1:13" ht="12">
      <c r="A689" s="11">
        <v>24</v>
      </c>
      <c r="B689" s="11"/>
      <c r="D689" s="81"/>
      <c r="E689" s="11">
        <v>24</v>
      </c>
      <c r="F689" s="11"/>
      <c r="H689" s="90"/>
      <c r="J689" s="59"/>
      <c r="M689" s="59"/>
    </row>
    <row r="690" spans="7:13" ht="12">
      <c r="G690" s="90" t="s">
        <v>1</v>
      </c>
      <c r="H690" s="90" t="s">
        <v>1</v>
      </c>
      <c r="I690" s="90" t="s">
        <v>1</v>
      </c>
      <c r="J690" s="90" t="s">
        <v>1</v>
      </c>
      <c r="L690" s="90" t="s">
        <v>1</v>
      </c>
      <c r="M690" s="90" t="s">
        <v>1</v>
      </c>
    </row>
    <row r="691" spans="1:13" ht="12">
      <c r="A691" s="11">
        <v>25</v>
      </c>
      <c r="B691" s="11"/>
      <c r="C691" s="12" t="s">
        <v>429</v>
      </c>
      <c r="E691" s="11">
        <v>25</v>
      </c>
      <c r="F691" s="11"/>
      <c r="G691" s="36">
        <f>G675</f>
        <v>343.68</v>
      </c>
      <c r="H691" s="55">
        <f>SUM(H675:H689)</f>
        <v>29773184.12</v>
      </c>
      <c r="I691" s="36">
        <f>I675</f>
        <v>369.5</v>
      </c>
      <c r="J691" s="55">
        <f>SUM(J675:J689)</f>
        <v>30509075.78</v>
      </c>
      <c r="L691" s="36">
        <f>L675</f>
        <v>352.22</v>
      </c>
      <c r="M691" s="59">
        <f>SUM(M675:M689)</f>
        <v>32757961</v>
      </c>
    </row>
    <row r="692" spans="5:13" ht="12">
      <c r="E692" s="50"/>
      <c r="F692" s="50"/>
      <c r="G692" s="90" t="s">
        <v>1</v>
      </c>
      <c r="H692" s="90" t="s">
        <v>1</v>
      </c>
      <c r="I692" s="90" t="s">
        <v>1</v>
      </c>
      <c r="J692" s="90" t="s">
        <v>1</v>
      </c>
      <c r="L692" s="90" t="s">
        <v>1</v>
      </c>
      <c r="M692" s="90" t="s">
        <v>1</v>
      </c>
    </row>
    <row r="693" spans="1:2" ht="12">
      <c r="A693" s="12"/>
      <c r="B693" s="12"/>
    </row>
    <row r="695" spans="1:13" ht="12">
      <c r="A695" s="16" t="s">
        <v>320</v>
      </c>
      <c r="B695" s="16"/>
      <c r="E695" s="50"/>
      <c r="F695" s="50"/>
      <c r="G695" s="5"/>
      <c r="H695" s="59"/>
      <c r="I695" s="5"/>
      <c r="J695" s="59"/>
      <c r="K695" s="5"/>
      <c r="L695" s="5"/>
      <c r="M695" s="146" t="s">
        <v>44</v>
      </c>
    </row>
    <row r="696" spans="1:13" ht="12">
      <c r="A696" s="268" t="s">
        <v>154</v>
      </c>
      <c r="B696" s="268"/>
      <c r="C696" s="268"/>
      <c r="D696" s="268"/>
      <c r="E696" s="268"/>
      <c r="F696" s="268"/>
      <c r="G696" s="268"/>
      <c r="H696" s="268"/>
      <c r="I696" s="268"/>
      <c r="J696" s="268"/>
      <c r="K696" s="268"/>
      <c r="L696" s="268"/>
      <c r="M696" s="268"/>
    </row>
    <row r="697" spans="1:13" ht="12">
      <c r="A697" s="16" t="s">
        <v>292</v>
      </c>
      <c r="B697" s="16"/>
      <c r="G697" s="34"/>
      <c r="H697" s="92"/>
      <c r="I697" s="92"/>
      <c r="J697" s="210"/>
      <c r="K697" s="5"/>
      <c r="L697" s="5"/>
      <c r="M697" s="207" t="s">
        <v>293</v>
      </c>
    </row>
    <row r="698" spans="1:13" ht="12">
      <c r="A698" s="21" t="s">
        <v>1</v>
      </c>
      <c r="B698" s="21"/>
      <c r="C698" s="21" t="s">
        <v>1</v>
      </c>
      <c r="D698" s="21" t="s">
        <v>1</v>
      </c>
      <c r="E698" s="21" t="s">
        <v>1</v>
      </c>
      <c r="F698" s="21"/>
      <c r="G698" s="21" t="s">
        <v>1</v>
      </c>
      <c r="H698" s="21" t="s">
        <v>1</v>
      </c>
      <c r="I698" s="21" t="s">
        <v>1</v>
      </c>
      <c r="J698" s="21" t="s">
        <v>1</v>
      </c>
      <c r="K698" s="21" t="s">
        <v>1</v>
      </c>
      <c r="L698" s="21"/>
      <c r="M698" s="21" t="s">
        <v>1</v>
      </c>
    </row>
    <row r="699" spans="1:13" ht="12">
      <c r="A699" s="24" t="s">
        <v>2</v>
      </c>
      <c r="B699" s="24"/>
      <c r="E699" s="24" t="s">
        <v>2</v>
      </c>
      <c r="F699" s="24"/>
      <c r="G699" s="149"/>
      <c r="H699" s="130" t="s">
        <v>249</v>
      </c>
      <c r="I699" s="142"/>
      <c r="J699" s="130" t="s">
        <v>251</v>
      </c>
      <c r="K699" s="68"/>
      <c r="L699" s="68"/>
      <c r="M699" s="130" t="s">
        <v>260</v>
      </c>
    </row>
    <row r="700" spans="1:13" ht="12">
      <c r="A700" s="24" t="s">
        <v>4</v>
      </c>
      <c r="B700" s="24"/>
      <c r="C700" s="28" t="s">
        <v>20</v>
      </c>
      <c r="E700" s="24" t="s">
        <v>4</v>
      </c>
      <c r="F700" s="24"/>
      <c r="G700" s="149" t="s">
        <v>6</v>
      </c>
      <c r="H700" s="130" t="s">
        <v>7</v>
      </c>
      <c r="I700" s="149" t="s">
        <v>6</v>
      </c>
      <c r="J700" s="130" t="s">
        <v>7</v>
      </c>
      <c r="L700" s="149" t="s">
        <v>6</v>
      </c>
      <c r="M700" s="130" t="s">
        <v>8</v>
      </c>
    </row>
    <row r="701" spans="1:13" ht="12">
      <c r="A701" s="21" t="s">
        <v>1</v>
      </c>
      <c r="B701" s="21"/>
      <c r="C701" s="21" t="s">
        <v>1</v>
      </c>
      <c r="D701" s="21" t="s">
        <v>1</v>
      </c>
      <c r="E701" s="21" t="s">
        <v>1</v>
      </c>
      <c r="F701" s="21"/>
      <c r="G701" s="21" t="s">
        <v>1</v>
      </c>
      <c r="H701" s="21" t="s">
        <v>1</v>
      </c>
      <c r="I701" s="21" t="s">
        <v>1</v>
      </c>
      <c r="J701" s="21" t="s">
        <v>1</v>
      </c>
      <c r="L701" s="21" t="s">
        <v>1</v>
      </c>
      <c r="M701" s="143" t="s">
        <v>1</v>
      </c>
    </row>
    <row r="702" spans="1:13" ht="12">
      <c r="A702" s="11">
        <v>1</v>
      </c>
      <c r="B702" s="11"/>
      <c r="C702" s="12" t="s">
        <v>36</v>
      </c>
      <c r="E702" s="11">
        <v>1</v>
      </c>
      <c r="F702" s="11"/>
      <c r="G702" s="151">
        <f>7.4</f>
        <v>7.4</v>
      </c>
      <c r="H702" s="88">
        <f>827047.18</f>
        <v>827047.18</v>
      </c>
      <c r="I702" s="151">
        <f>8.1</f>
        <v>8.1</v>
      </c>
      <c r="J702" s="88">
        <f>961820.53</f>
        <v>961820.53</v>
      </c>
      <c r="L702" s="151">
        <f>8.1</f>
        <v>8.1</v>
      </c>
      <c r="M702" s="88">
        <f>1011920</f>
        <v>1011920</v>
      </c>
    </row>
    <row r="703" spans="1:13" ht="12">
      <c r="A703" s="11">
        <v>2</v>
      </c>
      <c r="B703" s="11"/>
      <c r="C703" s="12" t="s">
        <v>37</v>
      </c>
      <c r="E703" s="11">
        <v>2</v>
      </c>
      <c r="F703" s="11"/>
      <c r="G703" s="151"/>
      <c r="H703" s="88">
        <f>206224.49</f>
        <v>206224.49</v>
      </c>
      <c r="I703" s="151"/>
      <c r="J703" s="88">
        <f>275051.19</f>
        <v>275051.19</v>
      </c>
      <c r="L703" s="151"/>
      <c r="M703" s="88">
        <f>281569</f>
        <v>281569</v>
      </c>
    </row>
    <row r="704" spans="1:13" ht="12">
      <c r="A704" s="11">
        <v>3</v>
      </c>
      <c r="B704" s="11"/>
      <c r="E704" s="11">
        <v>3</v>
      </c>
      <c r="F704" s="11"/>
      <c r="G704" s="151"/>
      <c r="H704" s="88"/>
      <c r="I704" s="151"/>
      <c r="J704" s="88"/>
      <c r="L704" s="154"/>
      <c r="M704" s="88"/>
    </row>
    <row r="705" spans="1:13" ht="12">
      <c r="A705" s="11">
        <v>4</v>
      </c>
      <c r="B705" s="11"/>
      <c r="C705" s="12" t="s">
        <v>23</v>
      </c>
      <c r="E705" s="11">
        <v>4</v>
      </c>
      <c r="F705" s="11"/>
      <c r="G705" s="68">
        <f>G702</f>
        <v>7.4</v>
      </c>
      <c r="H705" s="59">
        <f>SUM(H702:H703)</f>
        <v>1033271.67</v>
      </c>
      <c r="I705" s="68">
        <f>I702</f>
        <v>8.1</v>
      </c>
      <c r="J705" s="59">
        <f>SUM(J702:J703)</f>
        <v>1236871.72</v>
      </c>
      <c r="L705" s="68">
        <f>L702</f>
        <v>8.1</v>
      </c>
      <c r="M705" s="59">
        <f>SUM(M702:M703)</f>
        <v>1293489</v>
      </c>
    </row>
    <row r="706" spans="1:13" ht="12">
      <c r="A706" s="11">
        <v>5</v>
      </c>
      <c r="B706" s="11"/>
      <c r="E706" s="11">
        <v>5</v>
      </c>
      <c r="F706" s="11"/>
      <c r="G706" s="68"/>
      <c r="H706" s="59"/>
      <c r="I706" s="68"/>
      <c r="J706" s="59"/>
      <c r="L706" s="153"/>
      <c r="M706" s="59"/>
    </row>
    <row r="707" spans="1:13" ht="12">
      <c r="A707" s="11">
        <v>6</v>
      </c>
      <c r="B707" s="11"/>
      <c r="E707" s="11">
        <v>6</v>
      </c>
      <c r="F707" s="11"/>
      <c r="G707" s="68"/>
      <c r="H707" s="59"/>
      <c r="I707" s="68"/>
      <c r="J707" s="59"/>
      <c r="L707" s="68"/>
      <c r="M707" s="59"/>
    </row>
    <row r="708" spans="1:13" ht="12">
      <c r="A708" s="11">
        <v>7</v>
      </c>
      <c r="B708" s="11"/>
      <c r="C708" s="12" t="s">
        <v>25</v>
      </c>
      <c r="E708" s="11">
        <v>7</v>
      </c>
      <c r="F708" s="11"/>
      <c r="G708" s="151">
        <f>390.4</f>
        <v>390.4</v>
      </c>
      <c r="H708" s="88">
        <f>17430306.35</f>
        <v>17430306.35</v>
      </c>
      <c r="I708" s="151">
        <f>401.6</f>
        <v>401.6</v>
      </c>
      <c r="J708" s="88">
        <f>18845101.66</f>
        <v>18845101.66</v>
      </c>
      <c r="L708" s="151">
        <f>399.8</f>
        <v>399.8</v>
      </c>
      <c r="M708" s="88">
        <f>19753872</f>
        <v>19753872</v>
      </c>
    </row>
    <row r="709" spans="1:13" ht="12">
      <c r="A709" s="11">
        <v>8</v>
      </c>
      <c r="B709" s="11"/>
      <c r="C709" s="12" t="s">
        <v>26</v>
      </c>
      <c r="E709" s="11">
        <v>8</v>
      </c>
      <c r="F709" s="11"/>
      <c r="G709" s="151"/>
      <c r="H709" s="88">
        <f>3589910.02</f>
        <v>3589910.02</v>
      </c>
      <c r="I709" s="151"/>
      <c r="J709" s="88">
        <f>4842922.22</f>
        <v>4842922.22</v>
      </c>
      <c r="L709" s="151"/>
      <c r="M709" s="88">
        <f>5505233</f>
        <v>5505233</v>
      </c>
    </row>
    <row r="710" spans="1:13" ht="12">
      <c r="A710" s="11">
        <v>9</v>
      </c>
      <c r="B710" s="11"/>
      <c r="C710" s="12" t="s">
        <v>27</v>
      </c>
      <c r="E710" s="11">
        <v>9</v>
      </c>
      <c r="F710" s="11"/>
      <c r="G710" s="68">
        <f>G708</f>
        <v>390.4</v>
      </c>
      <c r="H710" s="59">
        <f>SUM(H708:H709)</f>
        <v>21020216.37</v>
      </c>
      <c r="I710" s="68">
        <f>I708</f>
        <v>401.6</v>
      </c>
      <c r="J710" s="59">
        <f>SUM(J708:J709)</f>
        <v>23688023.88</v>
      </c>
      <c r="L710" s="68">
        <f>L708</f>
        <v>399.8</v>
      </c>
      <c r="M710" s="59">
        <f>SUM(M708:M709)</f>
        <v>25259105</v>
      </c>
    </row>
    <row r="711" spans="1:13" ht="12">
      <c r="A711" s="11">
        <v>10</v>
      </c>
      <c r="B711" s="11"/>
      <c r="E711" s="11">
        <v>10</v>
      </c>
      <c r="F711" s="11"/>
      <c r="G711" s="68"/>
      <c r="H711" s="59"/>
      <c r="I711" s="68"/>
      <c r="J711" s="59"/>
      <c r="L711" s="68"/>
      <c r="M711" s="59"/>
    </row>
    <row r="712" spans="1:13" ht="12">
      <c r="A712" s="11">
        <v>11</v>
      </c>
      <c r="B712" s="11"/>
      <c r="C712" s="12" t="s">
        <v>28</v>
      </c>
      <c r="E712" s="11">
        <v>11</v>
      </c>
      <c r="F712" s="11"/>
      <c r="G712" s="68">
        <f aca="true" t="shared" si="36" ref="G712:M712">SUM(G710,G705)</f>
        <v>397.79999999999995</v>
      </c>
      <c r="H712" s="59">
        <f t="shared" si="36"/>
        <v>22053488.040000003</v>
      </c>
      <c r="I712" s="68">
        <f t="shared" si="36"/>
        <v>409.70000000000005</v>
      </c>
      <c r="J712" s="59">
        <f t="shared" si="36"/>
        <v>24924895.599999998</v>
      </c>
      <c r="L712" s="68">
        <f>SUM(L710,L705)</f>
        <v>407.90000000000003</v>
      </c>
      <c r="M712" s="59">
        <f t="shared" si="36"/>
        <v>26552594</v>
      </c>
    </row>
    <row r="713" spans="1:6" ht="12">
      <c r="A713" s="11">
        <v>12</v>
      </c>
      <c r="B713" s="11"/>
      <c r="E713" s="11">
        <v>12</v>
      </c>
      <c r="F713" s="11"/>
    </row>
    <row r="714" spans="1:13" ht="12">
      <c r="A714" s="11">
        <v>13</v>
      </c>
      <c r="B714" s="11"/>
      <c r="C714" s="12" t="s">
        <v>38</v>
      </c>
      <c r="E714" s="11">
        <v>13</v>
      </c>
      <c r="F714" s="11"/>
      <c r="G714" s="151">
        <f>37.9</f>
        <v>37.9</v>
      </c>
      <c r="H714" s="88">
        <f>600252.66+2401.05</f>
        <v>602653.7100000001</v>
      </c>
      <c r="I714" s="151">
        <f>29.4</f>
        <v>29.4</v>
      </c>
      <c r="J714" s="88">
        <f>581839.12+2327.36</f>
        <v>584166.48</v>
      </c>
      <c r="L714" s="151">
        <f>0+28.5</f>
        <v>28.5</v>
      </c>
      <c r="M714" s="88">
        <f>596807+2828</f>
        <v>599635</v>
      </c>
    </row>
    <row r="715" spans="1:13" ht="12">
      <c r="A715" s="11"/>
      <c r="B715" s="11"/>
      <c r="C715" s="12"/>
      <c r="E715" s="11"/>
      <c r="F715" s="11"/>
      <c r="G715" s="151"/>
      <c r="H715" s="88"/>
      <c r="I715" s="151"/>
      <c r="J715" s="88"/>
      <c r="L715" s="151"/>
      <c r="M715" s="88"/>
    </row>
    <row r="716" spans="1:13" ht="12">
      <c r="A716" s="11">
        <v>14</v>
      </c>
      <c r="B716" s="11"/>
      <c r="C716" s="12" t="s">
        <v>46</v>
      </c>
      <c r="E716" s="11">
        <v>14</v>
      </c>
      <c r="F716" s="11"/>
      <c r="G716" s="151"/>
      <c r="H716" s="88">
        <f>4864746.02</f>
        <v>4864746.02</v>
      </c>
      <c r="I716" s="151"/>
      <c r="J716" s="88">
        <f>2846757.5</f>
        <v>2846757.5</v>
      </c>
      <c r="L716" s="151"/>
      <c r="M716" s="88">
        <f>2903693</f>
        <v>2903693</v>
      </c>
    </row>
    <row r="717" spans="1:13" ht="12">
      <c r="A717" s="11">
        <v>15</v>
      </c>
      <c r="B717" s="11"/>
      <c r="C717" s="12" t="s">
        <v>30</v>
      </c>
      <c r="E717" s="11">
        <v>15</v>
      </c>
      <c r="F717" s="11"/>
      <c r="G717" s="151"/>
      <c r="H717" s="88">
        <f>69791.32</f>
        <v>69791.32</v>
      </c>
      <c r="I717" s="151"/>
      <c r="J717" s="88">
        <f>101355.29</f>
        <v>101355.29</v>
      </c>
      <c r="L717" s="151"/>
      <c r="M717" s="88">
        <f>90735</f>
        <v>90735</v>
      </c>
    </row>
    <row r="718" spans="1:13" ht="12">
      <c r="A718" s="11">
        <v>16</v>
      </c>
      <c r="B718" s="11"/>
      <c r="C718" s="12" t="s">
        <v>45</v>
      </c>
      <c r="E718" s="11">
        <v>16</v>
      </c>
      <c r="F718" s="11"/>
      <c r="G718" s="151"/>
      <c r="H718" s="88">
        <f>18447041.25</f>
        <v>18447041.25</v>
      </c>
      <c r="I718" s="151"/>
      <c r="J718" s="88">
        <f>17087918.86</f>
        <v>17087918.86</v>
      </c>
      <c r="L718" s="151"/>
      <c r="M718" s="88">
        <f>18467711</f>
        <v>18467711</v>
      </c>
    </row>
    <row r="719" spans="1:13" ht="12">
      <c r="A719" s="11">
        <v>17</v>
      </c>
      <c r="B719" s="11"/>
      <c r="C719" s="12" t="s">
        <v>31</v>
      </c>
      <c r="E719" s="11">
        <v>17</v>
      </c>
      <c r="F719" s="11"/>
      <c r="G719" s="151"/>
      <c r="H719" s="88">
        <f>-10807036.99+16570743.46-1192641.99-H716</f>
        <v>-293681.5399999991</v>
      </c>
      <c r="I719" s="151"/>
      <c r="J719" s="88">
        <f>-11910926.14+13800476.99-1964986.92-J716</f>
        <v>-2922193.5700000003</v>
      </c>
      <c r="L719" s="151"/>
      <c r="M719" s="88">
        <f>1961086-M716</f>
        <v>-942607</v>
      </c>
    </row>
    <row r="720" spans="1:13" ht="12">
      <c r="A720" s="11"/>
      <c r="B720" s="11"/>
      <c r="C720" s="12"/>
      <c r="E720" s="11"/>
      <c r="F720" s="11"/>
      <c r="G720" s="151"/>
      <c r="H720" s="88"/>
      <c r="I720" s="151"/>
      <c r="J720" s="88"/>
      <c r="L720" s="151"/>
      <c r="M720" s="88"/>
    </row>
    <row r="721" spans="1:13" ht="12">
      <c r="A721" s="11">
        <v>18</v>
      </c>
      <c r="B721" s="11"/>
      <c r="C721" s="12" t="s">
        <v>32</v>
      </c>
      <c r="E721" s="11">
        <v>18</v>
      </c>
      <c r="F721" s="11"/>
      <c r="G721" s="151"/>
      <c r="H721" s="88"/>
      <c r="I721" s="151"/>
      <c r="J721" s="88"/>
      <c r="L721" s="151"/>
      <c r="M721" s="88"/>
    </row>
    <row r="722" spans="1:13" ht="12">
      <c r="A722" s="11">
        <v>19</v>
      </c>
      <c r="B722" s="11"/>
      <c r="C722" s="7" t="s">
        <v>42</v>
      </c>
      <c r="E722" s="11">
        <v>19</v>
      </c>
      <c r="F722" s="11"/>
      <c r="G722" s="151"/>
      <c r="H722" s="88"/>
      <c r="I722" s="151"/>
      <c r="J722" s="88"/>
      <c r="L722" s="151"/>
      <c r="M722" s="88"/>
    </row>
    <row r="723" spans="1:13" ht="12">
      <c r="A723" s="11">
        <v>20</v>
      </c>
      <c r="B723" s="11"/>
      <c r="E723" s="11">
        <v>20</v>
      </c>
      <c r="F723" s="11"/>
      <c r="G723" s="90"/>
      <c r="H723" s="90"/>
      <c r="I723" s="90"/>
      <c r="J723" s="90"/>
      <c r="L723" s="90"/>
      <c r="M723" s="90"/>
    </row>
    <row r="724" spans="1:13" ht="12">
      <c r="A724" s="11">
        <v>21</v>
      </c>
      <c r="B724" s="11"/>
      <c r="E724" s="11">
        <v>21</v>
      </c>
      <c r="F724" s="11"/>
      <c r="G724" s="90"/>
      <c r="H724" s="90"/>
      <c r="I724" s="90"/>
      <c r="J724" s="90"/>
      <c r="L724" s="90"/>
      <c r="M724" s="90"/>
    </row>
    <row r="725" spans="1:13" ht="12">
      <c r="A725" s="11">
        <v>22</v>
      </c>
      <c r="B725" s="11"/>
      <c r="E725" s="11">
        <v>22</v>
      </c>
      <c r="F725" s="11"/>
      <c r="G725" s="90"/>
      <c r="H725" s="90"/>
      <c r="I725" s="90"/>
      <c r="J725" s="90"/>
      <c r="L725" s="90"/>
      <c r="M725" s="90"/>
    </row>
    <row r="726" spans="1:13" ht="12">
      <c r="A726" s="11">
        <v>23</v>
      </c>
      <c r="B726" s="11"/>
      <c r="E726" s="11">
        <v>23</v>
      </c>
      <c r="F726" s="11"/>
      <c r="G726" s="90"/>
      <c r="H726" s="90"/>
      <c r="I726" s="90"/>
      <c r="J726" s="90"/>
      <c r="L726" s="90"/>
      <c r="M726" s="90"/>
    </row>
    <row r="727" spans="1:13" ht="12">
      <c r="A727" s="11">
        <v>24</v>
      </c>
      <c r="B727" s="11"/>
      <c r="E727" s="11">
        <v>24</v>
      </c>
      <c r="F727" s="11"/>
      <c r="G727" s="90"/>
      <c r="H727" s="90"/>
      <c r="I727" s="90"/>
      <c r="J727" s="90"/>
      <c r="L727" s="90"/>
      <c r="M727" s="90"/>
    </row>
    <row r="728" spans="1:13" ht="12">
      <c r="A728" s="11"/>
      <c r="B728" s="11"/>
      <c r="D728" s="81"/>
      <c r="E728" s="11"/>
      <c r="F728" s="11"/>
      <c r="G728" s="90" t="s">
        <v>1</v>
      </c>
      <c r="H728" s="90" t="s">
        <v>1</v>
      </c>
      <c r="I728" s="90" t="s">
        <v>1</v>
      </c>
      <c r="J728" s="90" t="s">
        <v>1</v>
      </c>
      <c r="L728" s="90" t="s">
        <v>1</v>
      </c>
      <c r="M728" s="90" t="s">
        <v>1</v>
      </c>
    </row>
    <row r="729" spans="1:13" ht="12">
      <c r="A729" s="11">
        <v>25</v>
      </c>
      <c r="B729" s="11"/>
      <c r="C729" s="12" t="s">
        <v>430</v>
      </c>
      <c r="E729" s="11">
        <v>25</v>
      </c>
      <c r="F729" s="11"/>
      <c r="G729" s="36">
        <f>G712</f>
        <v>397.79999999999995</v>
      </c>
      <c r="H729" s="55">
        <f>SUM(H712:H728)</f>
        <v>45744038.800000004</v>
      </c>
      <c r="I729" s="36">
        <f>I712</f>
        <v>409.70000000000005</v>
      </c>
      <c r="J729" s="55">
        <f>SUM(J712:J728)</f>
        <v>42622900.16</v>
      </c>
      <c r="L729" s="36">
        <f>L712</f>
        <v>407.90000000000003</v>
      </c>
      <c r="M729" s="59">
        <f>SUM(M712:M728)</f>
        <v>47671761</v>
      </c>
    </row>
    <row r="730" spans="1:13" ht="12">
      <c r="A730" s="11"/>
      <c r="B730" s="11"/>
      <c r="C730" s="12" t="s">
        <v>431</v>
      </c>
      <c r="E730" s="11"/>
      <c r="F730" s="11"/>
      <c r="G730" s="90" t="s">
        <v>1</v>
      </c>
      <c r="H730" s="90" t="s">
        <v>1</v>
      </c>
      <c r="I730" s="90" t="s">
        <v>1</v>
      </c>
      <c r="J730" s="90" t="s">
        <v>1</v>
      </c>
      <c r="L730" s="90" t="s">
        <v>1</v>
      </c>
      <c r="M730" s="90" t="s">
        <v>1</v>
      </c>
    </row>
    <row r="731" spans="1:13" ht="12">
      <c r="A731" s="11"/>
      <c r="B731" s="11"/>
      <c r="C731" s="12"/>
      <c r="E731" s="11"/>
      <c r="F731" s="11"/>
      <c r="G731" s="36"/>
      <c r="H731" s="55"/>
      <c r="I731" s="36"/>
      <c r="J731" s="55"/>
      <c r="K731" s="36"/>
      <c r="L731" s="36"/>
      <c r="M731" s="59"/>
    </row>
    <row r="732" spans="1:13" ht="12">
      <c r="A732" s="11" t="s">
        <v>432</v>
      </c>
      <c r="B732" s="11"/>
      <c r="C732" s="12"/>
      <c r="E732" s="11"/>
      <c r="F732" s="11"/>
      <c r="G732" s="36"/>
      <c r="H732" s="55"/>
      <c r="I732" s="36"/>
      <c r="J732" s="55"/>
      <c r="K732" s="36"/>
      <c r="L732" s="36"/>
      <c r="M732" s="59"/>
    </row>
    <row r="733" spans="1:13" ht="12">
      <c r="A733" s="11"/>
      <c r="B733" s="11"/>
      <c r="C733" s="12"/>
      <c r="E733" s="11"/>
      <c r="F733" s="11"/>
      <c r="G733" s="36"/>
      <c r="H733" s="55"/>
      <c r="I733" s="36"/>
      <c r="J733" s="55"/>
      <c r="K733" s="36"/>
      <c r="L733" s="36"/>
      <c r="M733" s="59"/>
    </row>
    <row r="734" spans="1:13" ht="12">
      <c r="A734" s="16" t="s">
        <v>320</v>
      </c>
      <c r="B734" s="16"/>
      <c r="E734" s="50"/>
      <c r="F734" s="50"/>
      <c r="G734" s="5"/>
      <c r="H734" s="59"/>
      <c r="I734" s="5"/>
      <c r="J734" s="59"/>
      <c r="K734" s="5"/>
      <c r="L734" s="5"/>
      <c r="M734" s="146" t="s">
        <v>44</v>
      </c>
    </row>
    <row r="735" spans="1:13" ht="12">
      <c r="A735" s="268" t="s">
        <v>433</v>
      </c>
      <c r="B735" s="268"/>
      <c r="C735" s="268"/>
      <c r="D735" s="268"/>
      <c r="E735" s="268"/>
      <c r="F735" s="268"/>
      <c r="G735" s="268"/>
      <c r="H735" s="268"/>
      <c r="I735" s="268"/>
      <c r="J735" s="268"/>
      <c r="K735" s="268"/>
      <c r="L735" s="268"/>
      <c r="M735" s="268"/>
    </row>
    <row r="736" spans="1:13" ht="12">
      <c r="A736" s="16" t="s">
        <v>292</v>
      </c>
      <c r="B736" s="16"/>
      <c r="G736" s="34"/>
      <c r="H736" s="92"/>
      <c r="I736" s="92"/>
      <c r="J736" s="210"/>
      <c r="K736" s="5"/>
      <c r="L736" s="5"/>
      <c r="M736" s="207" t="s">
        <v>293</v>
      </c>
    </row>
    <row r="737" spans="1:13" ht="12">
      <c r="A737" s="21" t="s">
        <v>1</v>
      </c>
      <c r="B737" s="21"/>
      <c r="C737" s="21" t="s">
        <v>1</v>
      </c>
      <c r="D737" s="21" t="s">
        <v>1</v>
      </c>
      <c r="E737" s="21" t="s">
        <v>1</v>
      </c>
      <c r="F737" s="21"/>
      <c r="G737" s="21" t="s">
        <v>1</v>
      </c>
      <c r="H737" s="21" t="s">
        <v>1</v>
      </c>
      <c r="I737" s="21" t="s">
        <v>1</v>
      </c>
      <c r="J737" s="21" t="s">
        <v>1</v>
      </c>
      <c r="K737" s="21" t="s">
        <v>1</v>
      </c>
      <c r="L737" s="21"/>
      <c r="M737" s="21" t="s">
        <v>1</v>
      </c>
    </row>
    <row r="738" spans="1:13" ht="12">
      <c r="A738" s="24" t="s">
        <v>2</v>
      </c>
      <c r="B738" s="24"/>
      <c r="E738" s="24" t="s">
        <v>2</v>
      </c>
      <c r="F738" s="24"/>
      <c r="G738" s="149"/>
      <c r="H738" s="130" t="s">
        <v>249</v>
      </c>
      <c r="I738" s="142"/>
      <c r="J738" s="130" t="s">
        <v>251</v>
      </c>
      <c r="K738" s="68"/>
      <c r="L738" s="68"/>
      <c r="M738" s="130" t="s">
        <v>260</v>
      </c>
    </row>
    <row r="739" spans="1:13" ht="12">
      <c r="A739" s="24" t="s">
        <v>4</v>
      </c>
      <c r="B739" s="24"/>
      <c r="C739" s="28" t="s">
        <v>20</v>
      </c>
      <c r="E739" s="24" t="s">
        <v>4</v>
      </c>
      <c r="F739" s="24"/>
      <c r="G739" s="149" t="s">
        <v>6</v>
      </c>
      <c r="H739" s="130" t="s">
        <v>7</v>
      </c>
      <c r="I739" s="149" t="s">
        <v>6</v>
      </c>
      <c r="J739" s="130" t="s">
        <v>7</v>
      </c>
      <c r="K739" s="149"/>
      <c r="L739" s="149"/>
      <c r="M739" s="130" t="s">
        <v>8</v>
      </c>
    </row>
    <row r="740" spans="1:13" ht="12">
      <c r="A740" s="21" t="s">
        <v>1</v>
      </c>
      <c r="B740" s="21"/>
      <c r="C740" s="21" t="s">
        <v>1</v>
      </c>
      <c r="D740" s="21" t="s">
        <v>1</v>
      </c>
      <c r="E740" s="21" t="s">
        <v>1</v>
      </c>
      <c r="F740" s="21"/>
      <c r="G740" s="21" t="s">
        <v>1</v>
      </c>
      <c r="H740" s="21" t="s">
        <v>1</v>
      </c>
      <c r="I740" s="21" t="s">
        <v>1</v>
      </c>
      <c r="J740" s="21" t="s">
        <v>1</v>
      </c>
      <c r="K740" s="21" t="s">
        <v>1</v>
      </c>
      <c r="L740" s="21"/>
      <c r="M740" s="143" t="s">
        <v>1</v>
      </c>
    </row>
    <row r="741" spans="1:13" ht="12">
      <c r="A741" s="11"/>
      <c r="B741" s="11"/>
      <c r="C741" s="12"/>
      <c r="E741" s="11"/>
      <c r="F741" s="11"/>
      <c r="G741" s="36"/>
      <c r="H741" s="55"/>
      <c r="I741" s="36"/>
      <c r="J741" s="55"/>
      <c r="K741" s="36"/>
      <c r="L741" s="36"/>
      <c r="M741" s="59"/>
    </row>
    <row r="742" spans="1:6" ht="12">
      <c r="A742" s="11">
        <v>26</v>
      </c>
      <c r="B742" s="11"/>
      <c r="C742" s="12" t="s">
        <v>47</v>
      </c>
      <c r="E742" s="11">
        <v>26</v>
      </c>
      <c r="F742" s="11"/>
    </row>
    <row r="743" spans="1:6" ht="12">
      <c r="A743" s="11"/>
      <c r="B743" s="11"/>
      <c r="C743" s="12"/>
      <c r="E743" s="11"/>
      <c r="F743" s="11"/>
    </row>
    <row r="744" spans="1:13" ht="12">
      <c r="A744" s="11">
        <v>27</v>
      </c>
      <c r="B744" s="11"/>
      <c r="C744" s="12" t="s">
        <v>48</v>
      </c>
      <c r="E744" s="11">
        <v>27</v>
      </c>
      <c r="F744" s="11"/>
      <c r="G744" s="5"/>
      <c r="H744" s="88">
        <f>4702610</f>
        <v>4702610</v>
      </c>
      <c r="I744" s="88"/>
      <c r="J744" s="88">
        <f>H763</f>
        <v>5040764</v>
      </c>
      <c r="K744" s="88"/>
      <c r="L744" s="88"/>
      <c r="M744" s="88">
        <f>J763</f>
        <v>5009847</v>
      </c>
    </row>
    <row r="745" spans="1:13" ht="12">
      <c r="A745" s="11"/>
      <c r="B745" s="11"/>
      <c r="C745" s="12"/>
      <c r="E745" s="11"/>
      <c r="F745" s="11"/>
      <c r="G745" s="5"/>
      <c r="H745" s="88"/>
      <c r="I745" s="88"/>
      <c r="J745" s="88"/>
      <c r="K745" s="88"/>
      <c r="L745" s="88"/>
      <c r="M745" s="88"/>
    </row>
    <row r="746" spans="1:13" ht="12">
      <c r="A746" s="7">
        <v>28</v>
      </c>
      <c r="C746" s="12" t="s">
        <v>434</v>
      </c>
      <c r="E746" s="7">
        <v>28</v>
      </c>
      <c r="G746" s="5"/>
      <c r="H746" s="88"/>
      <c r="I746" s="88"/>
      <c r="J746" s="88"/>
      <c r="K746" s="88"/>
      <c r="L746" s="88"/>
      <c r="M746" s="88"/>
    </row>
    <row r="747" spans="1:13" ht="12">
      <c r="A747" s="11">
        <v>29</v>
      </c>
      <c r="B747" s="11"/>
      <c r="C747" s="13" t="s">
        <v>435</v>
      </c>
      <c r="E747" s="11">
        <v>29</v>
      </c>
      <c r="F747" s="11"/>
      <c r="G747" s="5"/>
      <c r="H747" s="88">
        <v>76371</v>
      </c>
      <c r="I747" s="88"/>
      <c r="K747" s="88"/>
      <c r="L747" s="88"/>
      <c r="M747" s="88"/>
    </row>
    <row r="748" spans="1:12" ht="12">
      <c r="A748" s="11">
        <v>30</v>
      </c>
      <c r="B748" s="11"/>
      <c r="C748" s="13" t="s">
        <v>436</v>
      </c>
      <c r="E748" s="11">
        <v>30</v>
      </c>
      <c r="F748" s="11"/>
      <c r="G748" s="5"/>
      <c r="H748" s="88">
        <v>181944</v>
      </c>
      <c r="I748" s="88"/>
      <c r="J748" s="88"/>
      <c r="K748" s="88"/>
      <c r="L748" s="88"/>
    </row>
    <row r="749" spans="1:13" ht="12">
      <c r="A749" s="11">
        <v>31</v>
      </c>
      <c r="B749" s="11"/>
      <c r="C749" s="7" t="s">
        <v>437</v>
      </c>
      <c r="E749" s="11">
        <v>31</v>
      </c>
      <c r="F749" s="11"/>
      <c r="G749" s="5"/>
      <c r="H749" s="88">
        <v>8302</v>
      </c>
      <c r="I749" s="88"/>
      <c r="J749" s="88"/>
      <c r="K749" s="88"/>
      <c r="L749" s="88"/>
      <c r="M749" s="88"/>
    </row>
    <row r="750" spans="1:13" ht="12">
      <c r="A750" s="11">
        <v>32</v>
      </c>
      <c r="B750" s="11"/>
      <c r="C750" s="7" t="s">
        <v>438</v>
      </c>
      <c r="E750" s="11">
        <v>32</v>
      </c>
      <c r="F750" s="11"/>
      <c r="G750" s="5"/>
      <c r="H750" s="88"/>
      <c r="I750" s="88"/>
      <c r="J750" s="88">
        <v>67887</v>
      </c>
      <c r="K750" s="88"/>
      <c r="L750" s="88"/>
      <c r="M750" s="88"/>
    </row>
    <row r="751" spans="1:13" ht="12">
      <c r="A751" s="11">
        <v>33</v>
      </c>
      <c r="B751" s="11"/>
      <c r="C751" s="7" t="s">
        <v>439</v>
      </c>
      <c r="E751" s="11">
        <v>33</v>
      </c>
      <c r="F751" s="11"/>
      <c r="G751" s="5"/>
      <c r="H751" s="88">
        <v>70300</v>
      </c>
      <c r="I751" s="88"/>
      <c r="J751" s="88"/>
      <c r="K751" s="88"/>
      <c r="L751" s="88"/>
      <c r="M751" s="88"/>
    </row>
    <row r="752" spans="1:13" ht="12">
      <c r="A752" s="11">
        <v>34</v>
      </c>
      <c r="B752" s="11"/>
      <c r="C752" s="7" t="s">
        <v>440</v>
      </c>
      <c r="E752" s="11">
        <v>34</v>
      </c>
      <c r="F752" s="11"/>
      <c r="G752" s="5"/>
      <c r="H752" s="88">
        <v>2576</v>
      </c>
      <c r="I752" s="88"/>
      <c r="J752" s="88"/>
      <c r="K752" s="88"/>
      <c r="L752" s="88"/>
      <c r="M752" s="88"/>
    </row>
    <row r="753" spans="1:13" ht="12">
      <c r="A753" s="11">
        <v>35</v>
      </c>
      <c r="B753" s="11"/>
      <c r="C753" s="7" t="s">
        <v>441</v>
      </c>
      <c r="E753" s="11">
        <v>35</v>
      </c>
      <c r="F753" s="11"/>
      <c r="G753" s="5"/>
      <c r="H753" s="88"/>
      <c r="I753" s="88"/>
      <c r="J753" s="7">
        <v>1516</v>
      </c>
      <c r="K753" s="88"/>
      <c r="L753" s="88"/>
      <c r="M753" s="88"/>
    </row>
    <row r="754" spans="1:13" ht="12">
      <c r="A754" s="11"/>
      <c r="B754" s="11"/>
      <c r="E754" s="11"/>
      <c r="F754" s="11"/>
      <c r="G754" s="5"/>
      <c r="H754" s="88"/>
      <c r="I754" s="88"/>
      <c r="K754" s="88"/>
      <c r="L754" s="88"/>
      <c r="M754" s="88"/>
    </row>
    <row r="755" spans="1:13" ht="12">
      <c r="A755" s="11"/>
      <c r="B755" s="11"/>
      <c r="E755" s="11"/>
      <c r="F755" s="11"/>
      <c r="G755" s="5"/>
      <c r="H755" s="88"/>
      <c r="I755" s="88"/>
      <c r="K755" s="88"/>
      <c r="L755" s="88"/>
      <c r="M755" s="88"/>
    </row>
    <row r="756" spans="1:13" ht="12">
      <c r="A756" s="11"/>
      <c r="B756" s="11"/>
      <c r="E756" s="11"/>
      <c r="F756" s="11"/>
      <c r="G756" s="5"/>
      <c r="H756" s="88"/>
      <c r="I756" s="88"/>
      <c r="K756" s="88"/>
      <c r="L756" s="88"/>
      <c r="M756" s="88"/>
    </row>
    <row r="757" spans="1:7" ht="12">
      <c r="A757" s="7">
        <v>36</v>
      </c>
      <c r="C757" s="12" t="s">
        <v>442</v>
      </c>
      <c r="E757" s="7">
        <v>36</v>
      </c>
      <c r="G757" s="5"/>
    </row>
    <row r="758" spans="1:13" ht="12">
      <c r="A758" s="11">
        <v>37</v>
      </c>
      <c r="B758" s="11"/>
      <c r="C758" s="13" t="s">
        <v>443</v>
      </c>
      <c r="E758" s="11">
        <v>37</v>
      </c>
      <c r="F758" s="11"/>
      <c r="G758" s="5"/>
      <c r="H758" s="88">
        <v>-1339</v>
      </c>
      <c r="I758" s="88"/>
      <c r="J758" s="88"/>
      <c r="K758" s="88"/>
      <c r="L758" s="88"/>
      <c r="M758" s="88"/>
    </row>
    <row r="759" spans="1:13" ht="12">
      <c r="A759" s="11">
        <v>38</v>
      </c>
      <c r="B759" s="11"/>
      <c r="C759" s="7" t="s">
        <v>444</v>
      </c>
      <c r="E759" s="11">
        <v>38</v>
      </c>
      <c r="F759" s="11"/>
      <c r="G759" s="5"/>
      <c r="H759" s="88"/>
      <c r="I759" s="88"/>
      <c r="J759" s="88">
        <v>-100320</v>
      </c>
      <c r="K759" s="88"/>
      <c r="L759" s="88"/>
      <c r="M759" s="88"/>
    </row>
    <row r="760" spans="1:13" ht="12">
      <c r="A760" s="11"/>
      <c r="B760" s="11"/>
      <c r="E760" s="11"/>
      <c r="F760" s="11"/>
      <c r="G760" s="5"/>
      <c r="H760" s="88"/>
      <c r="I760" s="88"/>
      <c r="J760" s="88"/>
      <c r="K760" s="88"/>
      <c r="L760" s="88"/>
      <c r="M760" s="88"/>
    </row>
    <row r="761" spans="1:13" ht="12">
      <c r="A761" s="11"/>
      <c r="B761" s="11"/>
      <c r="E761" s="11"/>
      <c r="F761" s="11"/>
      <c r="G761" s="5"/>
      <c r="H761" s="88"/>
      <c r="I761" s="88"/>
      <c r="J761" s="88"/>
      <c r="K761" s="88"/>
      <c r="L761" s="88"/>
      <c r="M761" s="88"/>
    </row>
    <row r="762" spans="1:13" ht="12">
      <c r="A762" s="11"/>
      <c r="B762" s="11"/>
      <c r="E762" s="11"/>
      <c r="F762" s="11"/>
      <c r="G762" s="5"/>
      <c r="H762" s="88"/>
      <c r="I762" s="88"/>
      <c r="J762" s="88"/>
      <c r="K762" s="88"/>
      <c r="L762" s="88"/>
      <c r="M762" s="88"/>
    </row>
    <row r="763" spans="1:13" ht="12">
      <c r="A763" s="11">
        <v>39</v>
      </c>
      <c r="B763" s="11"/>
      <c r="C763" s="12" t="s">
        <v>445</v>
      </c>
      <c r="E763" s="11">
        <v>39</v>
      </c>
      <c r="F763" s="11"/>
      <c r="G763" s="5"/>
      <c r="H763" s="59">
        <f>SUM(H744:H759)</f>
        <v>5040764</v>
      </c>
      <c r="I763" s="59"/>
      <c r="J763" s="59">
        <f>SUM(J744:J759)</f>
        <v>5009847</v>
      </c>
      <c r="K763" s="59"/>
      <c r="L763" s="59"/>
      <c r="M763" s="59">
        <f>SUM(M744:M759)</f>
        <v>5009847</v>
      </c>
    </row>
    <row r="764" spans="1:13" ht="12">
      <c r="A764" s="11"/>
      <c r="B764" s="11"/>
      <c r="C764" s="12"/>
      <c r="E764" s="11"/>
      <c r="F764" s="11"/>
      <c r="G764" s="5"/>
      <c r="H764" s="59"/>
      <c r="I764" s="59"/>
      <c r="J764" s="59"/>
      <c r="K764" s="59"/>
      <c r="L764" s="59"/>
      <c r="M764" s="59"/>
    </row>
    <row r="765" spans="1:13" ht="12">
      <c r="A765" s="11">
        <v>40</v>
      </c>
      <c r="B765" s="11"/>
      <c r="C765" s="12" t="s">
        <v>52</v>
      </c>
      <c r="E765" s="11">
        <v>40</v>
      </c>
      <c r="F765" s="11"/>
      <c r="G765" s="5"/>
      <c r="H765" s="88">
        <v>258</v>
      </c>
      <c r="I765" s="59"/>
      <c r="J765" s="88">
        <v>258</v>
      </c>
      <c r="K765" s="59"/>
      <c r="L765" s="59"/>
      <c r="M765" s="88">
        <v>258</v>
      </c>
    </row>
    <row r="766" spans="1:13" ht="12">
      <c r="A766" s="11"/>
      <c r="B766" s="11"/>
      <c r="C766" s="12"/>
      <c r="E766" s="11"/>
      <c r="F766" s="11"/>
      <c r="G766" s="5"/>
      <c r="H766" s="88"/>
      <c r="I766" s="59"/>
      <c r="J766" s="88"/>
      <c r="K766" s="59"/>
      <c r="L766" s="59"/>
      <c r="M766" s="88"/>
    </row>
    <row r="767" spans="1:13" ht="12">
      <c r="A767" s="11"/>
      <c r="B767" s="11"/>
      <c r="C767" s="12"/>
      <c r="E767" s="11"/>
      <c r="F767" s="11"/>
      <c r="G767" s="5"/>
      <c r="H767" s="88"/>
      <c r="I767" s="59"/>
      <c r="J767" s="88"/>
      <c r="K767" s="59"/>
      <c r="L767" s="59"/>
      <c r="M767" s="88"/>
    </row>
    <row r="768" spans="1:13" ht="12">
      <c r="A768" s="16" t="s">
        <v>320</v>
      </c>
      <c r="B768" s="16"/>
      <c r="E768" s="50"/>
      <c r="F768" s="50"/>
      <c r="G768" s="5"/>
      <c r="H768" s="59"/>
      <c r="I768" s="5"/>
      <c r="J768" s="59"/>
      <c r="K768" s="5"/>
      <c r="L768" s="5"/>
      <c r="M768" s="146" t="s">
        <v>53</v>
      </c>
    </row>
    <row r="769" spans="1:13" ht="12">
      <c r="A769" s="268" t="s">
        <v>446</v>
      </c>
      <c r="B769" s="268"/>
      <c r="C769" s="268"/>
      <c r="D769" s="268"/>
      <c r="E769" s="268"/>
      <c r="F769" s="268"/>
      <c r="G769" s="268"/>
      <c r="H769" s="268"/>
      <c r="I769" s="268"/>
      <c r="J769" s="268"/>
      <c r="K769" s="268"/>
      <c r="L769" s="268"/>
      <c r="M769" s="268"/>
    </row>
    <row r="770" spans="1:13" ht="12">
      <c r="A770" s="16" t="s">
        <v>292</v>
      </c>
      <c r="B770" s="16"/>
      <c r="G770" s="5"/>
      <c r="H770" s="34"/>
      <c r="I770" s="92"/>
      <c r="J770" s="210"/>
      <c r="K770" s="5"/>
      <c r="L770" s="5"/>
      <c r="M770" s="207" t="s">
        <v>293</v>
      </c>
    </row>
    <row r="771" spans="1:13" ht="12">
      <c r="A771" s="21" t="s">
        <v>1</v>
      </c>
      <c r="B771" s="21"/>
      <c r="C771" s="21" t="s">
        <v>1</v>
      </c>
      <c r="D771" s="21" t="s">
        <v>1</v>
      </c>
      <c r="E771" s="21" t="s">
        <v>1</v>
      </c>
      <c r="F771" s="21"/>
      <c r="G771" s="21" t="s">
        <v>1</v>
      </c>
      <c r="H771" s="21" t="s">
        <v>1</v>
      </c>
      <c r="I771" s="21" t="s">
        <v>1</v>
      </c>
      <c r="J771" s="21" t="s">
        <v>1</v>
      </c>
      <c r="K771" s="21" t="s">
        <v>1</v>
      </c>
      <c r="L771" s="21"/>
      <c r="M771" s="21" t="s">
        <v>1</v>
      </c>
    </row>
    <row r="772" spans="1:13" ht="12">
      <c r="A772" s="24" t="s">
        <v>2</v>
      </c>
      <c r="B772" s="24"/>
      <c r="E772" s="24" t="s">
        <v>2</v>
      </c>
      <c r="F772" s="24"/>
      <c r="G772" s="5"/>
      <c r="H772" s="130" t="s">
        <v>249</v>
      </c>
      <c r="I772" s="68"/>
      <c r="J772" s="130" t="s">
        <v>251</v>
      </c>
      <c r="K772" s="68"/>
      <c r="L772" s="68"/>
      <c r="M772" s="130" t="s">
        <v>260</v>
      </c>
    </row>
    <row r="773" spans="1:13" ht="12">
      <c r="A773" s="24" t="s">
        <v>4</v>
      </c>
      <c r="B773" s="24"/>
      <c r="C773" s="28" t="s">
        <v>20</v>
      </c>
      <c r="E773" s="24" t="s">
        <v>4</v>
      </c>
      <c r="F773" s="24"/>
      <c r="G773" s="5"/>
      <c r="H773" s="130" t="s">
        <v>7</v>
      </c>
      <c r="I773" s="5"/>
      <c r="J773" s="130" t="s">
        <v>7</v>
      </c>
      <c r="K773" s="5"/>
      <c r="L773" s="5"/>
      <c r="M773" s="130" t="s">
        <v>8</v>
      </c>
    </row>
    <row r="774" spans="1:13" ht="12">
      <c r="A774" s="21" t="s">
        <v>1</v>
      </c>
      <c r="B774" s="21"/>
      <c r="C774" s="21" t="s">
        <v>1</v>
      </c>
      <c r="D774" s="21" t="s">
        <v>1</v>
      </c>
      <c r="E774" s="21" t="s">
        <v>1</v>
      </c>
      <c r="F774" s="21"/>
      <c r="G774" s="21" t="s">
        <v>1</v>
      </c>
      <c r="H774" s="21" t="s">
        <v>1</v>
      </c>
      <c r="I774" s="21" t="s">
        <v>1</v>
      </c>
      <c r="J774" s="21" t="s">
        <v>1</v>
      </c>
      <c r="K774" s="21" t="s">
        <v>1</v>
      </c>
      <c r="L774" s="21"/>
      <c r="M774" s="143" t="s">
        <v>1</v>
      </c>
    </row>
    <row r="775" spans="1:13" ht="12">
      <c r="A775" s="11">
        <v>1</v>
      </c>
      <c r="B775" s="11"/>
      <c r="C775" s="12" t="s">
        <v>301</v>
      </c>
      <c r="E775" s="11">
        <v>1</v>
      </c>
      <c r="F775" s="11"/>
      <c r="G775" s="68"/>
      <c r="H775" s="9">
        <f>4429576+19127195.54</f>
        <v>23556771.54</v>
      </c>
      <c r="I775" s="155"/>
      <c r="J775" s="9">
        <f>4446100+25674582.11</f>
        <v>30120682.11</v>
      </c>
      <c r="K775" s="151"/>
      <c r="L775" s="151"/>
      <c r="M775" s="88">
        <f>35433697</f>
        <v>35433697</v>
      </c>
    </row>
    <row r="776" spans="1:13" ht="12">
      <c r="A776" s="11">
        <f aca="true" t="shared" si="37" ref="A776:A793">(A775+1)</f>
        <v>2</v>
      </c>
      <c r="B776" s="11"/>
      <c r="C776" s="13"/>
      <c r="E776" s="11">
        <f aca="true" t="shared" si="38" ref="E776:E793">(E775+1)</f>
        <v>2</v>
      </c>
      <c r="F776" s="11"/>
      <c r="G776" s="68"/>
      <c r="H776" s="88"/>
      <c r="I776" s="151"/>
      <c r="J776" s="88"/>
      <c r="K776" s="151"/>
      <c r="L776" s="151"/>
      <c r="M776" s="88"/>
    </row>
    <row r="777" spans="1:13" ht="12">
      <c r="A777" s="11">
        <f t="shared" si="37"/>
        <v>3</v>
      </c>
      <c r="B777" s="11"/>
      <c r="E777" s="11">
        <f t="shared" si="38"/>
        <v>3</v>
      </c>
      <c r="F777" s="11"/>
      <c r="G777" s="68"/>
      <c r="H777" s="88"/>
      <c r="I777" s="151"/>
      <c r="J777" s="9"/>
      <c r="K777" s="151"/>
      <c r="L777" s="151"/>
      <c r="M777" s="88"/>
    </row>
    <row r="778" spans="1:13" ht="12">
      <c r="A778" s="11">
        <f t="shared" si="37"/>
        <v>4</v>
      </c>
      <c r="B778" s="11"/>
      <c r="C778" s="13"/>
      <c r="E778" s="11">
        <f t="shared" si="38"/>
        <v>4</v>
      </c>
      <c r="F778" s="11"/>
      <c r="G778" s="68"/>
      <c r="H778" s="88"/>
      <c r="I778" s="151"/>
      <c r="J778" s="151"/>
      <c r="K778" s="151"/>
      <c r="L778" s="151"/>
      <c r="M778" s="88"/>
    </row>
    <row r="779" spans="1:13" ht="12">
      <c r="A779" s="11">
        <f t="shared" si="37"/>
        <v>5</v>
      </c>
      <c r="B779" s="11"/>
      <c r="C779" s="13"/>
      <c r="E779" s="11">
        <f t="shared" si="38"/>
        <v>5</v>
      </c>
      <c r="F779" s="11"/>
      <c r="G779" s="68"/>
      <c r="H779" s="88"/>
      <c r="I779" s="151"/>
      <c r="J779" s="155"/>
      <c r="K779" s="151"/>
      <c r="L779" s="151"/>
      <c r="M779" s="88"/>
    </row>
    <row r="780" spans="1:13" ht="12">
      <c r="A780" s="11">
        <f t="shared" si="37"/>
        <v>6</v>
      </c>
      <c r="B780" s="11"/>
      <c r="E780" s="11">
        <f t="shared" si="38"/>
        <v>6</v>
      </c>
      <c r="F780" s="11"/>
      <c r="G780" s="68"/>
      <c r="H780" s="88"/>
      <c r="I780" s="151"/>
      <c r="K780" s="151"/>
      <c r="L780" s="151"/>
      <c r="M780" s="88"/>
    </row>
    <row r="781" spans="1:13" ht="12">
      <c r="A781" s="11">
        <f t="shared" si="37"/>
        <v>7</v>
      </c>
      <c r="B781" s="11"/>
      <c r="C781" s="13"/>
      <c r="E781" s="11">
        <f t="shared" si="38"/>
        <v>7</v>
      </c>
      <c r="F781" s="11"/>
      <c r="G781" s="68"/>
      <c r="H781" s="88"/>
      <c r="I781" s="151"/>
      <c r="J781" s="88"/>
      <c r="K781" s="151"/>
      <c r="L781" s="151"/>
      <c r="M781" s="88"/>
    </row>
    <row r="782" spans="1:13" ht="12">
      <c r="A782" s="11">
        <f t="shared" si="37"/>
        <v>8</v>
      </c>
      <c r="B782" s="11"/>
      <c r="C782" s="13"/>
      <c r="E782" s="11">
        <f t="shared" si="38"/>
        <v>8</v>
      </c>
      <c r="F782" s="11"/>
      <c r="G782" s="68"/>
      <c r="H782" s="88"/>
      <c r="I782" s="151"/>
      <c r="J782" s="88"/>
      <c r="K782" s="151"/>
      <c r="L782" s="151"/>
      <c r="M782" s="88"/>
    </row>
    <row r="783" spans="1:13" ht="12">
      <c r="A783" s="11">
        <f t="shared" si="37"/>
        <v>9</v>
      </c>
      <c r="B783" s="11"/>
      <c r="C783" s="13"/>
      <c r="E783" s="11">
        <f t="shared" si="38"/>
        <v>9</v>
      </c>
      <c r="F783" s="11"/>
      <c r="G783" s="68"/>
      <c r="H783" s="88"/>
      <c r="I783" s="151"/>
      <c r="J783" s="88"/>
      <c r="K783" s="151"/>
      <c r="L783" s="151"/>
      <c r="M783" s="88"/>
    </row>
    <row r="784" spans="1:13" ht="12">
      <c r="A784" s="11">
        <f t="shared" si="37"/>
        <v>10</v>
      </c>
      <c r="B784" s="11"/>
      <c r="C784" s="13"/>
      <c r="E784" s="11">
        <f t="shared" si="38"/>
        <v>10</v>
      </c>
      <c r="F784" s="11"/>
      <c r="G784" s="68"/>
      <c r="H784" s="88"/>
      <c r="I784" s="151"/>
      <c r="J784" s="88"/>
      <c r="K784" s="151"/>
      <c r="L784" s="151"/>
      <c r="M784" s="88"/>
    </row>
    <row r="785" spans="1:13" ht="12">
      <c r="A785" s="11">
        <f t="shared" si="37"/>
        <v>11</v>
      </c>
      <c r="B785" s="11"/>
      <c r="C785" s="13"/>
      <c r="E785" s="11">
        <f t="shared" si="38"/>
        <v>11</v>
      </c>
      <c r="F785" s="11"/>
      <c r="G785" s="68"/>
      <c r="H785" s="88"/>
      <c r="I785" s="151"/>
      <c r="J785" s="88"/>
      <c r="K785" s="151"/>
      <c r="L785" s="151"/>
      <c r="M785" s="88"/>
    </row>
    <row r="786" spans="1:13" ht="12">
      <c r="A786" s="11">
        <f t="shared" si="37"/>
        <v>12</v>
      </c>
      <c r="B786" s="11"/>
      <c r="C786" s="13"/>
      <c r="E786" s="11">
        <f t="shared" si="38"/>
        <v>12</v>
      </c>
      <c r="F786" s="11"/>
      <c r="G786" s="68"/>
      <c r="H786" s="88"/>
      <c r="I786" s="151"/>
      <c r="J786" s="88"/>
      <c r="K786" s="151"/>
      <c r="L786" s="151"/>
      <c r="M786" s="88"/>
    </row>
    <row r="787" spans="1:13" ht="12">
      <c r="A787" s="11">
        <f t="shared" si="37"/>
        <v>13</v>
      </c>
      <c r="B787" s="11"/>
      <c r="C787" s="13"/>
      <c r="E787" s="11">
        <f t="shared" si="38"/>
        <v>13</v>
      </c>
      <c r="F787" s="11"/>
      <c r="G787" s="68"/>
      <c r="H787" s="88"/>
      <c r="I787" s="151"/>
      <c r="J787" s="88"/>
      <c r="K787" s="151"/>
      <c r="L787" s="151"/>
      <c r="M787" s="88"/>
    </row>
    <row r="788" spans="1:13" ht="12">
      <c r="A788" s="11">
        <f t="shared" si="37"/>
        <v>14</v>
      </c>
      <c r="B788" s="11"/>
      <c r="C788" s="13"/>
      <c r="E788" s="11">
        <f t="shared" si="38"/>
        <v>14</v>
      </c>
      <c r="F788" s="11"/>
      <c r="G788" s="68"/>
      <c r="H788" s="88"/>
      <c r="I788" s="151"/>
      <c r="J788" s="88"/>
      <c r="K788" s="151"/>
      <c r="L788" s="151"/>
      <c r="M788" s="88"/>
    </row>
    <row r="789" spans="1:13" ht="12">
      <c r="A789" s="11">
        <f t="shared" si="37"/>
        <v>15</v>
      </c>
      <c r="B789" s="11"/>
      <c r="C789" s="13"/>
      <c r="E789" s="11">
        <f t="shared" si="38"/>
        <v>15</v>
      </c>
      <c r="F789" s="11"/>
      <c r="G789" s="68"/>
      <c r="H789" s="88"/>
      <c r="I789" s="151"/>
      <c r="J789" s="88"/>
      <c r="K789" s="151"/>
      <c r="L789" s="151"/>
      <c r="M789" s="88"/>
    </row>
    <row r="790" spans="1:13" ht="12">
      <c r="A790" s="11">
        <f t="shared" si="37"/>
        <v>16</v>
      </c>
      <c r="B790" s="11"/>
      <c r="C790" s="13"/>
      <c r="E790" s="11">
        <f t="shared" si="38"/>
        <v>16</v>
      </c>
      <c r="F790" s="11"/>
      <c r="G790" s="68"/>
      <c r="H790" s="88"/>
      <c r="I790" s="151"/>
      <c r="J790" s="88"/>
      <c r="K790" s="151"/>
      <c r="L790" s="151"/>
      <c r="M790" s="88"/>
    </row>
    <row r="791" spans="1:13" ht="12">
      <c r="A791" s="11">
        <f t="shared" si="37"/>
        <v>17</v>
      </c>
      <c r="B791" s="11"/>
      <c r="C791" s="13"/>
      <c r="E791" s="11">
        <f t="shared" si="38"/>
        <v>17</v>
      </c>
      <c r="F791" s="11"/>
      <c r="G791" s="68"/>
      <c r="H791" s="88"/>
      <c r="I791" s="151"/>
      <c r="J791" s="88"/>
      <c r="K791" s="151"/>
      <c r="L791" s="151"/>
      <c r="M791" s="88"/>
    </row>
    <row r="792" spans="1:13" ht="12">
      <c r="A792" s="11">
        <f t="shared" si="37"/>
        <v>18</v>
      </c>
      <c r="B792" s="11"/>
      <c r="C792" s="13"/>
      <c r="E792" s="11">
        <f t="shared" si="38"/>
        <v>18</v>
      </c>
      <c r="F792" s="11"/>
      <c r="G792" s="68"/>
      <c r="H792" s="88"/>
      <c r="I792" s="151"/>
      <c r="J792" s="88"/>
      <c r="K792" s="151"/>
      <c r="L792" s="151"/>
      <c r="M792" s="88"/>
    </row>
    <row r="793" spans="1:13" ht="12">
      <c r="A793" s="11">
        <f t="shared" si="37"/>
        <v>19</v>
      </c>
      <c r="B793" s="11"/>
      <c r="C793" s="13"/>
      <c r="E793" s="11">
        <f t="shared" si="38"/>
        <v>19</v>
      </c>
      <c r="F793" s="11"/>
      <c r="G793" s="68"/>
      <c r="H793" s="88"/>
      <c r="I793" s="151"/>
      <c r="J793" s="88"/>
      <c r="K793" s="151"/>
      <c r="L793" s="151"/>
      <c r="M793" s="88"/>
    </row>
    <row r="794" spans="1:13" ht="12">
      <c r="A794" s="11">
        <v>20</v>
      </c>
      <c r="B794" s="11"/>
      <c r="E794" s="11">
        <v>20</v>
      </c>
      <c r="F794" s="11"/>
      <c r="G794" s="90"/>
      <c r="H794" s="90"/>
      <c r="I794" s="90"/>
      <c r="J794" s="90"/>
      <c r="K794" s="90"/>
      <c r="L794" s="90"/>
      <c r="M794" s="90"/>
    </row>
    <row r="795" spans="1:13" ht="12">
      <c r="A795" s="11">
        <v>21</v>
      </c>
      <c r="B795" s="11"/>
      <c r="E795" s="11">
        <v>21</v>
      </c>
      <c r="F795" s="11"/>
      <c r="H795" s="90"/>
      <c r="I795" s="90"/>
      <c r="J795" s="59"/>
      <c r="K795" s="90"/>
      <c r="L795" s="90"/>
      <c r="M795" s="59"/>
    </row>
    <row r="796" spans="1:13" ht="12">
      <c r="A796" s="11">
        <v>22</v>
      </c>
      <c r="B796" s="11"/>
      <c r="E796" s="11">
        <v>22</v>
      </c>
      <c r="F796" s="11"/>
      <c r="H796" s="90"/>
      <c r="I796" s="68"/>
      <c r="J796" s="59"/>
      <c r="K796" s="68"/>
      <c r="L796" s="68"/>
      <c r="M796" s="59"/>
    </row>
    <row r="797" spans="1:13" ht="12">
      <c r="A797" s="11">
        <v>23</v>
      </c>
      <c r="B797" s="11"/>
      <c r="D797" s="81"/>
      <c r="E797" s="11">
        <v>23</v>
      </c>
      <c r="F797" s="11"/>
      <c r="H797" s="90"/>
      <c r="J797" s="59"/>
      <c r="M797" s="59"/>
    </row>
    <row r="798" spans="1:13" ht="12">
      <c r="A798" s="11">
        <v>24</v>
      </c>
      <c r="B798" s="11"/>
      <c r="D798" s="81"/>
      <c r="E798" s="11">
        <v>24</v>
      </c>
      <c r="F798" s="11"/>
      <c r="H798" s="90"/>
      <c r="J798" s="59"/>
      <c r="M798" s="59"/>
    </row>
    <row r="799" spans="7:13" ht="12">
      <c r="G799" s="90" t="s">
        <v>1</v>
      </c>
      <c r="H799" s="90" t="s">
        <v>1</v>
      </c>
      <c r="I799" s="90" t="s">
        <v>1</v>
      </c>
      <c r="J799" s="90" t="s">
        <v>1</v>
      </c>
      <c r="K799" s="90" t="s">
        <v>1</v>
      </c>
      <c r="L799" s="90"/>
      <c r="M799" s="90" t="s">
        <v>1</v>
      </c>
    </row>
    <row r="800" spans="1:13" ht="12">
      <c r="A800" s="11">
        <v>25</v>
      </c>
      <c r="B800" s="11"/>
      <c r="C800" s="12" t="s">
        <v>447</v>
      </c>
      <c r="E800" s="11">
        <v>25</v>
      </c>
      <c r="F800" s="11"/>
      <c r="G800" s="5"/>
      <c r="H800" s="59">
        <f>SUM(H775:H798)</f>
        <v>23556771.54</v>
      </c>
      <c r="I800" s="5"/>
      <c r="J800" s="59">
        <f>SUM(J775:J798)</f>
        <v>30120682.11</v>
      </c>
      <c r="K800" s="5"/>
      <c r="L800" s="5"/>
      <c r="M800" s="59">
        <f>SUM(M775:M798)</f>
        <v>35433697</v>
      </c>
    </row>
    <row r="801" spans="4:13" ht="12">
      <c r="D801" s="81"/>
      <c r="E801" s="50"/>
      <c r="F801" s="50"/>
      <c r="G801" s="90" t="s">
        <v>1</v>
      </c>
      <c r="H801" s="90" t="s">
        <v>1</v>
      </c>
      <c r="I801" s="90" t="s">
        <v>1</v>
      </c>
      <c r="J801" s="90" t="s">
        <v>1</v>
      </c>
      <c r="K801" s="90" t="s">
        <v>1</v>
      </c>
      <c r="L801" s="90"/>
      <c r="M801" s="90" t="s">
        <v>1</v>
      </c>
    </row>
    <row r="802" spans="4:13" ht="12">
      <c r="D802" s="81"/>
      <c r="E802" s="50"/>
      <c r="F802" s="50"/>
      <c r="G802" s="90"/>
      <c r="H802" s="90"/>
      <c r="I802" s="90"/>
      <c r="J802" s="90"/>
      <c r="K802" s="90"/>
      <c r="L802" s="90"/>
      <c r="M802" s="90"/>
    </row>
    <row r="803" spans="5:13" ht="12">
      <c r="E803" s="50"/>
      <c r="F803" s="50"/>
      <c r="G803" s="90"/>
      <c r="H803" s="59"/>
      <c r="I803" s="90"/>
      <c r="J803" s="90"/>
      <c r="K803" s="90"/>
      <c r="L803" s="90"/>
      <c r="M803" s="90"/>
    </row>
    <row r="804" spans="3:13" ht="12">
      <c r="C804" s="7" t="s">
        <v>448</v>
      </c>
      <c r="E804" s="50"/>
      <c r="F804" s="50"/>
      <c r="G804" s="5"/>
      <c r="H804" s="59">
        <f>H286</f>
        <v>41263047</v>
      </c>
      <c r="I804" s="5"/>
      <c r="J804" s="59">
        <f>J286</f>
        <v>47938593.11</v>
      </c>
      <c r="K804" s="5"/>
      <c r="L804" s="5"/>
      <c r="M804" s="59">
        <f>M286</f>
        <v>51387920</v>
      </c>
    </row>
    <row r="806" spans="1:13" ht="12">
      <c r="A806" s="16" t="s">
        <v>320</v>
      </c>
      <c r="B806" s="16"/>
      <c r="E806" s="50"/>
      <c r="F806" s="50"/>
      <c r="G806" s="5"/>
      <c r="H806" s="59"/>
      <c r="I806" s="5"/>
      <c r="J806" s="59"/>
      <c r="K806" s="5"/>
      <c r="L806" s="5"/>
      <c r="M806" s="146" t="s">
        <v>55</v>
      </c>
    </row>
    <row r="807" spans="1:13" ht="12">
      <c r="A807" s="268" t="s">
        <v>156</v>
      </c>
      <c r="B807" s="268"/>
      <c r="C807" s="268"/>
      <c r="D807" s="268"/>
      <c r="E807" s="268"/>
      <c r="F807" s="268"/>
      <c r="G807" s="268"/>
      <c r="H807" s="268"/>
      <c r="I807" s="268"/>
      <c r="J807" s="268"/>
      <c r="K807" s="268"/>
      <c r="L807" s="268"/>
      <c r="M807" s="268"/>
    </row>
    <row r="808" spans="1:13" ht="12">
      <c r="A808" s="16" t="s">
        <v>292</v>
      </c>
      <c r="B808" s="16"/>
      <c r="G808" s="5"/>
      <c r="I808" s="12"/>
      <c r="J808" s="59"/>
      <c r="K808" s="5"/>
      <c r="L808" s="5"/>
      <c r="M808" s="207" t="s">
        <v>293</v>
      </c>
    </row>
    <row r="809" spans="1:13" ht="12">
      <c r="A809" s="21" t="s">
        <v>1</v>
      </c>
      <c r="B809" s="21"/>
      <c r="C809" s="21" t="s">
        <v>1</v>
      </c>
      <c r="D809" s="21" t="s">
        <v>1</v>
      </c>
      <c r="E809" s="21" t="s">
        <v>1</v>
      </c>
      <c r="F809" s="21"/>
      <c r="G809" s="21" t="s">
        <v>1</v>
      </c>
      <c r="H809" s="21" t="s">
        <v>1</v>
      </c>
      <c r="I809" s="21" t="s">
        <v>1</v>
      </c>
      <c r="J809" s="21" t="s">
        <v>1</v>
      </c>
      <c r="K809" s="21" t="s">
        <v>1</v>
      </c>
      <c r="L809" s="21"/>
      <c r="M809" s="21" t="s">
        <v>1</v>
      </c>
    </row>
    <row r="810" spans="1:13" ht="12">
      <c r="A810" s="24" t="s">
        <v>2</v>
      </c>
      <c r="B810" s="24"/>
      <c r="E810" s="24" t="s">
        <v>2</v>
      </c>
      <c r="F810" s="24"/>
      <c r="G810" s="130"/>
      <c r="H810" s="130" t="s">
        <v>249</v>
      </c>
      <c r="I810" s="142"/>
      <c r="J810" s="130" t="s">
        <v>251</v>
      </c>
      <c r="K810" s="68"/>
      <c r="L810" s="68"/>
      <c r="M810" s="130" t="s">
        <v>260</v>
      </c>
    </row>
    <row r="811" spans="1:13" ht="12">
      <c r="A811" s="24" t="s">
        <v>4</v>
      </c>
      <c r="B811" s="24"/>
      <c r="C811" s="28" t="s">
        <v>20</v>
      </c>
      <c r="E811" s="24" t="s">
        <v>4</v>
      </c>
      <c r="F811" s="24"/>
      <c r="G811" s="149" t="s">
        <v>21</v>
      </c>
      <c r="H811" s="130" t="s">
        <v>7</v>
      </c>
      <c r="I811" s="149" t="s">
        <v>21</v>
      </c>
      <c r="J811" s="130" t="s">
        <v>7</v>
      </c>
      <c r="L811" s="149" t="s">
        <v>21</v>
      </c>
      <c r="M811" s="130" t="s">
        <v>8</v>
      </c>
    </row>
    <row r="812" spans="1:13" ht="12">
      <c r="A812" s="21" t="s">
        <v>1</v>
      </c>
      <c r="B812" s="21"/>
      <c r="C812" s="21" t="s">
        <v>1</v>
      </c>
      <c r="D812" s="21" t="s">
        <v>1</v>
      </c>
      <c r="E812" s="21" t="s">
        <v>1</v>
      </c>
      <c r="F812" s="21"/>
      <c r="G812" s="21" t="s">
        <v>1</v>
      </c>
      <c r="H812" s="21" t="s">
        <v>1</v>
      </c>
      <c r="I812" s="21" t="s">
        <v>1</v>
      </c>
      <c r="J812" s="21" t="s">
        <v>1</v>
      </c>
      <c r="L812" s="21" t="s">
        <v>1</v>
      </c>
      <c r="M812" s="143" t="s">
        <v>1</v>
      </c>
    </row>
    <row r="813" spans="1:13" ht="12">
      <c r="A813" s="11">
        <v>1</v>
      </c>
      <c r="B813" s="11"/>
      <c r="C813" s="12" t="s">
        <v>36</v>
      </c>
      <c r="E813" s="11">
        <v>1</v>
      </c>
      <c r="F813" s="11"/>
      <c r="G813" s="151"/>
      <c r="H813" s="88"/>
      <c r="I813" s="151"/>
      <c r="J813" s="88"/>
      <c r="L813" s="151"/>
      <c r="M813" s="88"/>
    </row>
    <row r="814" spans="1:13" ht="12">
      <c r="A814" s="11">
        <v>2</v>
      </c>
      <c r="B814" s="11"/>
      <c r="C814" s="12" t="s">
        <v>37</v>
      </c>
      <c r="E814" s="11">
        <v>2</v>
      </c>
      <c r="F814" s="11"/>
      <c r="G814" s="151"/>
      <c r="H814" s="88"/>
      <c r="I814" s="151"/>
      <c r="J814" s="88"/>
      <c r="L814" s="151"/>
      <c r="M814" s="88"/>
    </row>
    <row r="815" spans="1:13" ht="12">
      <c r="A815" s="11">
        <v>3</v>
      </c>
      <c r="B815" s="11"/>
      <c r="E815" s="11">
        <v>3</v>
      </c>
      <c r="F815" s="11"/>
      <c r="G815" s="151"/>
      <c r="H815" s="88"/>
      <c r="I815" s="151"/>
      <c r="J815" s="88"/>
      <c r="L815" s="151"/>
      <c r="M815" s="88"/>
    </row>
    <row r="816" spans="1:13" ht="12">
      <c r="A816" s="11">
        <v>4</v>
      </c>
      <c r="B816" s="11"/>
      <c r="C816" s="12" t="s">
        <v>23</v>
      </c>
      <c r="E816" s="11">
        <v>4</v>
      </c>
      <c r="F816" s="11"/>
      <c r="G816" s="68">
        <f>G813</f>
        <v>0</v>
      </c>
      <c r="H816" s="59">
        <f>SUM(H813:H814)</f>
        <v>0</v>
      </c>
      <c r="I816" s="68">
        <f>I813</f>
        <v>0</v>
      </c>
      <c r="J816" s="59">
        <f>SUM(J813:J814)</f>
        <v>0</v>
      </c>
      <c r="L816" s="68">
        <f>L813</f>
        <v>0</v>
      </c>
      <c r="M816" s="59">
        <f>SUM(M813:M814)</f>
        <v>0</v>
      </c>
    </row>
    <row r="817" spans="1:13" ht="12">
      <c r="A817" s="11">
        <v>5</v>
      </c>
      <c r="B817" s="11"/>
      <c r="E817" s="11">
        <v>5</v>
      </c>
      <c r="F817" s="11"/>
      <c r="G817" s="68"/>
      <c r="H817" s="59"/>
      <c r="I817" s="68"/>
      <c r="J817" s="59"/>
      <c r="L817" s="68"/>
      <c r="M817" s="59"/>
    </row>
    <row r="818" spans="1:13" ht="12">
      <c r="A818" s="11">
        <v>6</v>
      </c>
      <c r="B818" s="11"/>
      <c r="E818" s="11">
        <v>6</v>
      </c>
      <c r="F818" s="11"/>
      <c r="G818" s="68"/>
      <c r="H818" s="59"/>
      <c r="I818" s="68"/>
      <c r="J818" s="59"/>
      <c r="L818" s="68"/>
      <c r="M818" s="59"/>
    </row>
    <row r="819" spans="1:13" ht="12">
      <c r="A819" s="11">
        <v>7</v>
      </c>
      <c r="B819" s="11"/>
      <c r="C819" s="12" t="s">
        <v>25</v>
      </c>
      <c r="E819" s="11">
        <v>7</v>
      </c>
      <c r="F819" s="11"/>
      <c r="G819" s="151"/>
      <c r="H819" s="88"/>
      <c r="I819" s="151"/>
      <c r="J819" s="88"/>
      <c r="L819" s="151"/>
      <c r="M819" s="88"/>
    </row>
    <row r="820" spans="1:13" ht="12">
      <c r="A820" s="11">
        <v>8</v>
      </c>
      <c r="B820" s="11"/>
      <c r="C820" s="12" t="s">
        <v>26</v>
      </c>
      <c r="E820" s="11">
        <v>8</v>
      </c>
      <c r="F820" s="11"/>
      <c r="G820" s="151"/>
      <c r="H820" s="88"/>
      <c r="I820" s="151"/>
      <c r="J820" s="88"/>
      <c r="L820" s="151"/>
      <c r="M820" s="88"/>
    </row>
    <row r="821" spans="1:13" ht="12">
      <c r="A821" s="11">
        <v>9</v>
      </c>
      <c r="B821" s="11"/>
      <c r="C821" s="12" t="s">
        <v>27</v>
      </c>
      <c r="E821" s="11">
        <v>9</v>
      </c>
      <c r="F821" s="11"/>
      <c r="G821" s="68">
        <f>G819</f>
        <v>0</v>
      </c>
      <c r="H821" s="59">
        <f>SUM(H819:H820)</f>
        <v>0</v>
      </c>
      <c r="I821" s="68">
        <f>I819</f>
        <v>0</v>
      </c>
      <c r="J821" s="59">
        <f>SUM(J819:J820)</f>
        <v>0</v>
      </c>
      <c r="L821" s="68">
        <f>L819</f>
        <v>0</v>
      </c>
      <c r="M821" s="59">
        <f>SUM(M819:M820)</f>
        <v>0</v>
      </c>
    </row>
    <row r="822" spans="1:13" ht="12">
      <c r="A822" s="11">
        <v>10</v>
      </c>
      <c r="B822" s="11"/>
      <c r="E822" s="11">
        <v>10</v>
      </c>
      <c r="F822" s="11"/>
      <c r="G822" s="68"/>
      <c r="H822" s="59"/>
      <c r="I822" s="68"/>
      <c r="J822" s="59"/>
      <c r="L822" s="68"/>
      <c r="M822" s="59"/>
    </row>
    <row r="823" spans="1:13" ht="12">
      <c r="A823" s="11">
        <v>11</v>
      </c>
      <c r="B823" s="11"/>
      <c r="C823" s="12" t="s">
        <v>28</v>
      </c>
      <c r="E823" s="11">
        <v>11</v>
      </c>
      <c r="F823" s="11"/>
      <c r="G823" s="68">
        <f aca="true" t="shared" si="39" ref="G823:M823">SUM(G821,G816)</f>
        <v>0</v>
      </c>
      <c r="H823" s="59">
        <f t="shared" si="39"/>
        <v>0</v>
      </c>
      <c r="I823" s="68">
        <f t="shared" si="39"/>
        <v>0</v>
      </c>
      <c r="J823" s="59">
        <f t="shared" si="39"/>
        <v>0</v>
      </c>
      <c r="L823" s="68">
        <f>SUM(L821,L816)</f>
        <v>0</v>
      </c>
      <c r="M823" s="59">
        <f t="shared" si="39"/>
        <v>0</v>
      </c>
    </row>
    <row r="824" spans="1:6" ht="12">
      <c r="A824" s="11">
        <v>12</v>
      </c>
      <c r="B824" s="11"/>
      <c r="E824" s="11">
        <v>12</v>
      </c>
      <c r="F824" s="11"/>
    </row>
    <row r="825" spans="1:13" ht="12">
      <c r="A825" s="11">
        <v>13</v>
      </c>
      <c r="B825" s="11"/>
      <c r="C825" s="12" t="s">
        <v>38</v>
      </c>
      <c r="E825" s="11">
        <v>13</v>
      </c>
      <c r="F825" s="11"/>
      <c r="G825" s="151"/>
      <c r="H825" s="88"/>
      <c r="I825" s="151"/>
      <c r="J825" s="88"/>
      <c r="L825" s="151"/>
      <c r="M825" s="88"/>
    </row>
    <row r="826" spans="1:13" ht="12">
      <c r="A826" s="11">
        <v>14</v>
      </c>
      <c r="B826" s="11"/>
      <c r="E826" s="11">
        <v>14</v>
      </c>
      <c r="F826" s="11"/>
      <c r="G826" s="151"/>
      <c r="H826" s="13"/>
      <c r="I826" s="151"/>
      <c r="J826" s="13"/>
      <c r="L826" s="151"/>
      <c r="M826" s="13"/>
    </row>
    <row r="827" spans="1:13" ht="12">
      <c r="A827" s="11">
        <v>15</v>
      </c>
      <c r="B827" s="11"/>
      <c r="C827" s="12" t="s">
        <v>30</v>
      </c>
      <c r="E827" s="11">
        <v>15</v>
      </c>
      <c r="F827" s="11"/>
      <c r="G827" s="151"/>
      <c r="H827" s="88"/>
      <c r="I827" s="151"/>
      <c r="J827" s="88"/>
      <c r="L827" s="151"/>
      <c r="M827" s="88"/>
    </row>
    <row r="828" spans="1:13" ht="12">
      <c r="A828" s="11">
        <v>16</v>
      </c>
      <c r="B828" s="11"/>
      <c r="C828" s="12" t="s">
        <v>31</v>
      </c>
      <c r="E828" s="11">
        <v>17</v>
      </c>
      <c r="F828" s="11"/>
      <c r="G828" s="151"/>
      <c r="H828" s="88"/>
      <c r="I828" s="151"/>
      <c r="J828" s="88"/>
      <c r="L828" s="151"/>
      <c r="M828" s="88"/>
    </row>
    <row r="829" spans="1:13" ht="12">
      <c r="A829" s="11"/>
      <c r="B829" s="11"/>
      <c r="C829" s="12"/>
      <c r="E829" s="11"/>
      <c r="F829" s="11"/>
      <c r="G829" s="151"/>
      <c r="H829" s="88"/>
      <c r="I829" s="151"/>
      <c r="J829" s="88"/>
      <c r="L829" s="151"/>
      <c r="M829" s="88"/>
    </row>
    <row r="830" spans="1:13" ht="12">
      <c r="A830" s="11">
        <v>17</v>
      </c>
      <c r="B830" s="11"/>
      <c r="C830" s="12" t="s">
        <v>32</v>
      </c>
      <c r="E830" s="11">
        <v>17</v>
      </c>
      <c r="F830" s="11"/>
      <c r="G830" s="151"/>
      <c r="H830" s="88"/>
      <c r="I830" s="151"/>
      <c r="J830" s="88"/>
      <c r="L830" s="151"/>
      <c r="M830" s="88"/>
    </row>
    <row r="831" spans="1:13" ht="12">
      <c r="A831" s="11">
        <v>18</v>
      </c>
      <c r="B831" s="11"/>
      <c r="C831" s="7" t="s">
        <v>422</v>
      </c>
      <c r="E831" s="11">
        <v>18</v>
      </c>
      <c r="F831" s="11"/>
      <c r="H831" s="88"/>
      <c r="I831" s="151"/>
      <c r="J831" s="88"/>
      <c r="L831" s="151"/>
      <c r="M831" s="88"/>
    </row>
    <row r="832" spans="1:9" ht="12">
      <c r="A832" s="11">
        <v>19</v>
      </c>
      <c r="B832" s="11"/>
      <c r="E832" s="11">
        <v>19</v>
      </c>
      <c r="F832" s="11"/>
      <c r="H832" s="88"/>
      <c r="I832" s="151"/>
    </row>
    <row r="833" spans="1:13" ht="12">
      <c r="A833" s="11">
        <v>20</v>
      </c>
      <c r="B833" s="11"/>
      <c r="E833" s="11">
        <v>20</v>
      </c>
      <c r="F833" s="11"/>
      <c r="G833" s="90"/>
      <c r="H833" s="90"/>
      <c r="I833" s="90"/>
      <c r="J833" s="90"/>
      <c r="L833" s="90"/>
      <c r="M833" s="90"/>
    </row>
    <row r="834" spans="1:13" ht="12">
      <c r="A834" s="11">
        <v>21</v>
      </c>
      <c r="B834" s="11"/>
      <c r="E834" s="11">
        <v>21</v>
      </c>
      <c r="F834" s="11"/>
      <c r="H834" s="90"/>
      <c r="I834" s="90"/>
      <c r="J834" s="59"/>
      <c r="L834" s="90"/>
      <c r="M834" s="59"/>
    </row>
    <row r="835" spans="1:13" ht="12">
      <c r="A835" s="11">
        <v>22</v>
      </c>
      <c r="B835" s="11"/>
      <c r="E835" s="11">
        <v>22</v>
      </c>
      <c r="F835" s="11"/>
      <c r="H835" s="90"/>
      <c r="I835" s="68"/>
      <c r="J835" s="59"/>
      <c r="L835" s="68"/>
      <c r="M835" s="59"/>
    </row>
    <row r="836" spans="1:13" ht="12">
      <c r="A836" s="11">
        <v>23</v>
      </c>
      <c r="B836" s="11"/>
      <c r="D836" s="81"/>
      <c r="E836" s="11">
        <v>23</v>
      </c>
      <c r="F836" s="11"/>
      <c r="H836" s="90"/>
      <c r="J836" s="59"/>
      <c r="M836" s="59"/>
    </row>
    <row r="837" spans="1:13" ht="12">
      <c r="A837" s="11">
        <v>24</v>
      </c>
      <c r="B837" s="11"/>
      <c r="D837" s="81"/>
      <c r="E837" s="11">
        <v>24</v>
      </c>
      <c r="F837" s="11"/>
      <c r="H837" s="90"/>
      <c r="J837" s="59"/>
      <c r="M837" s="59"/>
    </row>
    <row r="838" spans="7:13" ht="12">
      <c r="G838" s="90" t="s">
        <v>1</v>
      </c>
      <c r="H838" s="90" t="s">
        <v>1</v>
      </c>
      <c r="I838" s="90" t="s">
        <v>1</v>
      </c>
      <c r="J838" s="90" t="s">
        <v>1</v>
      </c>
      <c r="L838" s="90" t="s">
        <v>1</v>
      </c>
      <c r="M838" s="90" t="s">
        <v>1</v>
      </c>
    </row>
    <row r="839" spans="1:13" ht="12">
      <c r="A839" s="11">
        <v>25</v>
      </c>
      <c r="B839" s="11"/>
      <c r="C839" s="12" t="s">
        <v>449</v>
      </c>
      <c r="E839" s="11">
        <v>25</v>
      </c>
      <c r="F839" s="11"/>
      <c r="G839" s="36">
        <f>G823</f>
        <v>0</v>
      </c>
      <c r="H839" s="50">
        <f>SUM(H823:H837)</f>
        <v>0</v>
      </c>
      <c r="I839" s="36">
        <f>I823</f>
        <v>0</v>
      </c>
      <c r="J839" s="50">
        <f>SUM(J823:J837)</f>
        <v>0</v>
      </c>
      <c r="L839" s="36">
        <f>L823</f>
        <v>0</v>
      </c>
      <c r="M839" s="59">
        <f>SUM(M823:M837)</f>
        <v>0</v>
      </c>
    </row>
    <row r="840" spans="5:13" ht="12">
      <c r="E840" s="50"/>
      <c r="F840" s="50"/>
      <c r="G840" s="90" t="s">
        <v>1</v>
      </c>
      <c r="H840" s="90" t="s">
        <v>1</v>
      </c>
      <c r="I840" s="90" t="s">
        <v>1</v>
      </c>
      <c r="J840" s="90" t="s">
        <v>1</v>
      </c>
      <c r="L840" s="90" t="s">
        <v>1</v>
      </c>
      <c r="M840" s="90" t="s">
        <v>1</v>
      </c>
    </row>
    <row r="842" spans="1:13" ht="12">
      <c r="A842" s="12"/>
      <c r="B842" s="12"/>
      <c r="H842" s="59"/>
      <c r="J842" s="59"/>
      <c r="M842" s="59"/>
    </row>
    <row r="843" spans="1:13" ht="12">
      <c r="A843" s="16" t="s">
        <v>320</v>
      </c>
      <c r="B843" s="16"/>
      <c r="E843" s="50"/>
      <c r="F843" s="50"/>
      <c r="G843" s="5"/>
      <c r="H843" s="59"/>
      <c r="I843" s="5"/>
      <c r="J843" s="59"/>
      <c r="K843" s="5"/>
      <c r="L843" s="5"/>
      <c r="M843" s="146" t="s">
        <v>56</v>
      </c>
    </row>
    <row r="844" spans="1:13" ht="12">
      <c r="A844" s="270" t="s">
        <v>450</v>
      </c>
      <c r="B844" s="270"/>
      <c r="C844" s="270"/>
      <c r="D844" s="270"/>
      <c r="E844" s="270"/>
      <c r="F844" s="270"/>
      <c r="G844" s="270"/>
      <c r="H844" s="270"/>
      <c r="I844" s="270"/>
      <c r="J844" s="270"/>
      <c r="K844" s="270"/>
      <c r="L844" s="270"/>
      <c r="M844" s="270"/>
    </row>
    <row r="845" spans="1:13" ht="12">
      <c r="A845" s="16" t="s">
        <v>292</v>
      </c>
      <c r="B845" s="16"/>
      <c r="G845" s="5"/>
      <c r="H845" s="59"/>
      <c r="J845" s="214"/>
      <c r="K845" s="5"/>
      <c r="L845" s="5"/>
      <c r="M845" s="207" t="s">
        <v>293</v>
      </c>
    </row>
    <row r="846" spans="1:13" ht="12">
      <c r="A846" s="21" t="s">
        <v>1</v>
      </c>
      <c r="B846" s="21"/>
      <c r="C846" s="21" t="s">
        <v>1</v>
      </c>
      <c r="D846" s="21" t="s">
        <v>1</v>
      </c>
      <c r="E846" s="21" t="s">
        <v>1</v>
      </c>
      <c r="F846" s="21"/>
      <c r="G846" s="21" t="s">
        <v>1</v>
      </c>
      <c r="H846" s="21" t="s">
        <v>1</v>
      </c>
      <c r="I846" s="21" t="s">
        <v>1</v>
      </c>
      <c r="J846" s="21" t="s">
        <v>1</v>
      </c>
      <c r="K846" s="21" t="s">
        <v>1</v>
      </c>
      <c r="L846" s="21"/>
      <c r="M846" s="21" t="s">
        <v>1</v>
      </c>
    </row>
    <row r="847" spans="1:13" ht="12">
      <c r="A847" s="24" t="s">
        <v>2</v>
      </c>
      <c r="B847" s="24"/>
      <c r="E847" s="24" t="s">
        <v>2</v>
      </c>
      <c r="F847" s="24"/>
      <c r="G847" s="130"/>
      <c r="H847" s="130" t="s">
        <v>249</v>
      </c>
      <c r="I847" s="142"/>
      <c r="J847" s="130" t="s">
        <v>251</v>
      </c>
      <c r="K847" s="68"/>
      <c r="L847" s="68"/>
      <c r="M847" s="130" t="s">
        <v>260</v>
      </c>
    </row>
    <row r="848" spans="1:13" ht="12">
      <c r="A848" s="24" t="s">
        <v>4</v>
      </c>
      <c r="B848" s="24"/>
      <c r="C848" s="28" t="s">
        <v>20</v>
      </c>
      <c r="E848" s="24" t="s">
        <v>4</v>
      </c>
      <c r="F848" s="24"/>
      <c r="G848" s="149"/>
      <c r="H848" s="130" t="s">
        <v>7</v>
      </c>
      <c r="I848" s="149"/>
      <c r="J848" s="130" t="s">
        <v>7</v>
      </c>
      <c r="K848" s="149"/>
      <c r="L848" s="149"/>
      <c r="M848" s="130" t="s">
        <v>8</v>
      </c>
    </row>
    <row r="849" spans="1:13" ht="12">
      <c r="A849" s="21" t="s">
        <v>1</v>
      </c>
      <c r="B849" s="21"/>
      <c r="C849" s="21" t="s">
        <v>1</v>
      </c>
      <c r="D849" s="21" t="s">
        <v>1</v>
      </c>
      <c r="E849" s="21" t="s">
        <v>1</v>
      </c>
      <c r="F849" s="21"/>
      <c r="G849" s="21" t="s">
        <v>1</v>
      </c>
      <c r="H849" s="21" t="s">
        <v>1</v>
      </c>
      <c r="I849" s="21" t="s">
        <v>1</v>
      </c>
      <c r="J849" s="21" t="s">
        <v>1</v>
      </c>
      <c r="K849" s="21" t="s">
        <v>1</v>
      </c>
      <c r="L849" s="21"/>
      <c r="M849" s="143" t="s">
        <v>1</v>
      </c>
    </row>
    <row r="850" spans="1:13" ht="12">
      <c r="A850" s="93">
        <v>1</v>
      </c>
      <c r="B850" s="93"/>
      <c r="C850" s="7" t="s">
        <v>451</v>
      </c>
      <c r="E850" s="93">
        <v>1</v>
      </c>
      <c r="F850" s="93"/>
      <c r="G850" s="68"/>
      <c r="H850" s="88">
        <f>1090702.02</f>
        <v>1090702.02</v>
      </c>
      <c r="I850" s="151"/>
      <c r="J850" s="88">
        <f>572837.28</f>
        <v>572837.28</v>
      </c>
      <c r="K850" s="151"/>
      <c r="L850" s="151"/>
      <c r="M850" s="88">
        <f>573994</f>
        <v>573994</v>
      </c>
    </row>
    <row r="851" spans="1:13" ht="12">
      <c r="A851" s="93">
        <v>2</v>
      </c>
      <c r="B851" s="93"/>
      <c r="E851" s="93">
        <v>2</v>
      </c>
      <c r="F851" s="93"/>
      <c r="G851" s="68"/>
      <c r="H851" s="189"/>
      <c r="I851" s="151"/>
      <c r="J851" s="189"/>
      <c r="K851" s="151"/>
      <c r="L851" s="151"/>
      <c r="M851" s="88"/>
    </row>
    <row r="852" spans="1:13" ht="12">
      <c r="A852" s="93">
        <v>3</v>
      </c>
      <c r="B852" s="93"/>
      <c r="C852" s="13"/>
      <c r="E852" s="93">
        <v>3</v>
      </c>
      <c r="F852" s="93"/>
      <c r="G852" s="68"/>
      <c r="H852" s="88"/>
      <c r="I852" s="151"/>
      <c r="J852" s="88"/>
      <c r="K852" s="151"/>
      <c r="L852" s="151"/>
      <c r="M852" s="88"/>
    </row>
    <row r="853" spans="1:13" ht="12">
      <c r="A853" s="93">
        <v>4</v>
      </c>
      <c r="B853" s="93"/>
      <c r="C853" s="13"/>
      <c r="E853" s="93">
        <v>4</v>
      </c>
      <c r="F853" s="93"/>
      <c r="G853" s="68"/>
      <c r="H853" s="88"/>
      <c r="I853" s="151"/>
      <c r="J853" s="88"/>
      <c r="K853" s="151"/>
      <c r="L853" s="151"/>
      <c r="M853" s="88"/>
    </row>
    <row r="854" spans="1:13" ht="12">
      <c r="A854" s="93">
        <v>5</v>
      </c>
      <c r="B854" s="93"/>
      <c r="C854" s="12"/>
      <c r="E854" s="93">
        <v>5</v>
      </c>
      <c r="F854" s="93"/>
      <c r="G854" s="68"/>
      <c r="H854" s="88"/>
      <c r="I854" s="151"/>
      <c r="J854" s="88"/>
      <c r="K854" s="151"/>
      <c r="L854" s="151"/>
      <c r="M854" s="88"/>
    </row>
    <row r="855" spans="1:13" ht="12">
      <c r="A855" s="93">
        <v>6</v>
      </c>
      <c r="B855" s="93"/>
      <c r="C855" s="13"/>
      <c r="E855" s="93">
        <v>6</v>
      </c>
      <c r="F855" s="93"/>
      <c r="G855" s="68"/>
      <c r="H855" s="88"/>
      <c r="I855" s="151"/>
      <c r="J855" s="88"/>
      <c r="K855" s="151"/>
      <c r="L855" s="151"/>
      <c r="M855" s="88"/>
    </row>
    <row r="856" spans="1:13" ht="12">
      <c r="A856" s="93">
        <v>7</v>
      </c>
      <c r="B856" s="93"/>
      <c r="C856" s="13"/>
      <c r="E856" s="93">
        <v>7</v>
      </c>
      <c r="F856" s="93"/>
      <c r="G856" s="68"/>
      <c r="H856" s="88"/>
      <c r="I856" s="151"/>
      <c r="J856" s="88"/>
      <c r="K856" s="151"/>
      <c r="L856" s="151"/>
      <c r="M856" s="88"/>
    </row>
    <row r="857" spans="1:13" ht="12">
      <c r="A857" s="93">
        <v>8</v>
      </c>
      <c r="B857" s="93"/>
      <c r="E857" s="93">
        <v>8</v>
      </c>
      <c r="F857" s="93"/>
      <c r="G857" s="68"/>
      <c r="H857" s="88"/>
      <c r="I857" s="151"/>
      <c r="J857" s="88"/>
      <c r="K857" s="151"/>
      <c r="L857" s="151"/>
      <c r="M857" s="88"/>
    </row>
    <row r="858" spans="1:13" ht="12">
      <c r="A858" s="93">
        <v>9</v>
      </c>
      <c r="B858" s="93"/>
      <c r="E858" s="93">
        <v>9</v>
      </c>
      <c r="F858" s="93"/>
      <c r="G858" s="68"/>
      <c r="H858" s="88"/>
      <c r="I858" s="151"/>
      <c r="J858" s="88"/>
      <c r="K858" s="151"/>
      <c r="L858" s="151"/>
      <c r="M858" s="88"/>
    </row>
    <row r="859" spans="1:13" ht="12">
      <c r="A859" s="96"/>
      <c r="B859" s="96"/>
      <c r="E859" s="96"/>
      <c r="F859" s="96"/>
      <c r="G859" s="90" t="s">
        <v>1</v>
      </c>
      <c r="H859" s="90" t="s">
        <v>1</v>
      </c>
      <c r="I859" s="90" t="s">
        <v>1</v>
      </c>
      <c r="J859" s="90" t="s">
        <v>1</v>
      </c>
      <c r="K859" s="90" t="s">
        <v>1</v>
      </c>
      <c r="L859" s="90"/>
      <c r="M859" s="90" t="s">
        <v>1</v>
      </c>
    </row>
    <row r="860" spans="1:13" ht="12">
      <c r="A860" s="93">
        <v>10</v>
      </c>
      <c r="B860" s="93"/>
      <c r="C860" s="7" t="s">
        <v>452</v>
      </c>
      <c r="E860" s="93">
        <v>10</v>
      </c>
      <c r="F860" s="93"/>
      <c r="G860" s="68"/>
      <c r="H860" s="88">
        <f>SUM(H850:H856)</f>
        <v>1090702.02</v>
      </c>
      <c r="I860" s="68"/>
      <c r="J860" s="88">
        <f>SUM(J850:J856)</f>
        <v>572837.28</v>
      </c>
      <c r="K860" s="68"/>
      <c r="L860" s="68"/>
      <c r="M860" s="88">
        <f>SUM(M850:M856)</f>
        <v>573994</v>
      </c>
    </row>
    <row r="861" spans="1:13" ht="12">
      <c r="A861" s="93"/>
      <c r="B861" s="93"/>
      <c r="E861" s="93"/>
      <c r="F861" s="93"/>
      <c r="G861" s="90" t="s">
        <v>1</v>
      </c>
      <c r="H861" s="90" t="s">
        <v>1</v>
      </c>
      <c r="I861" s="90" t="s">
        <v>1</v>
      </c>
      <c r="J861" s="90" t="s">
        <v>1</v>
      </c>
      <c r="K861" s="90" t="s">
        <v>1</v>
      </c>
      <c r="L861" s="90"/>
      <c r="M861" s="90" t="s">
        <v>1</v>
      </c>
    </row>
    <row r="862" spans="1:13" ht="12">
      <c r="A862" s="93">
        <v>11</v>
      </c>
      <c r="B862" s="93"/>
      <c r="C862" s="13"/>
      <c r="E862" s="93">
        <v>11</v>
      </c>
      <c r="F862" s="93"/>
      <c r="G862" s="68"/>
      <c r="H862" s="88"/>
      <c r="I862" s="151"/>
      <c r="J862" s="88"/>
      <c r="K862" s="151"/>
      <c r="L862" s="151"/>
      <c r="M862" s="88"/>
    </row>
    <row r="863" spans="1:13" ht="12">
      <c r="A863" s="93">
        <v>12</v>
      </c>
      <c r="B863" s="93"/>
      <c r="C863" s="12" t="s">
        <v>453</v>
      </c>
      <c r="E863" s="93">
        <v>12</v>
      </c>
      <c r="F863" s="93"/>
      <c r="G863" s="68"/>
      <c r="H863" s="88">
        <f>41635002.92</f>
        <v>41635002.92</v>
      </c>
      <c r="I863" s="151"/>
      <c r="J863" s="88">
        <f>44971233.99+12359.13</f>
        <v>44983593.120000005</v>
      </c>
      <c r="K863" s="151"/>
      <c r="L863" s="151"/>
      <c r="M863" s="88">
        <f>44314594</f>
        <v>44314594</v>
      </c>
    </row>
    <row r="864" spans="1:13" ht="12">
      <c r="A864" s="93">
        <v>13</v>
      </c>
      <c r="B864" s="93"/>
      <c r="C864" s="13" t="s">
        <v>454</v>
      </c>
      <c r="E864" s="93">
        <v>13</v>
      </c>
      <c r="F864" s="93"/>
      <c r="G864" s="68"/>
      <c r="H864" s="88">
        <f>10852664</f>
        <v>10852664</v>
      </c>
      <c r="I864" s="151"/>
      <c r="J864" s="88">
        <f>13493904</f>
        <v>13493904</v>
      </c>
      <c r="K864" s="151"/>
      <c r="L864" s="151"/>
      <c r="M864" s="88">
        <f>14299834</f>
        <v>14299834</v>
      </c>
    </row>
    <row r="865" spans="1:13" ht="12">
      <c r="A865" s="93">
        <v>14</v>
      </c>
      <c r="B865" s="93"/>
      <c r="C865" s="7" t="s">
        <v>455</v>
      </c>
      <c r="E865" s="93">
        <v>14</v>
      </c>
      <c r="F865" s="93"/>
      <c r="G865" s="68"/>
      <c r="H865" s="88">
        <f>H609</f>
        <v>10466685.96</v>
      </c>
      <c r="I865" s="151"/>
      <c r="J865" s="88">
        <f>J609</f>
        <v>11566355.09</v>
      </c>
      <c r="K865" s="151"/>
      <c r="L865" s="151"/>
      <c r="M865" s="88">
        <f>M609</f>
        <v>12749132</v>
      </c>
    </row>
    <row r="866" spans="1:13" ht="12">
      <c r="A866" s="93">
        <v>15</v>
      </c>
      <c r="B866" s="93"/>
      <c r="E866" s="93">
        <v>15</v>
      </c>
      <c r="F866" s="93"/>
      <c r="G866" s="68"/>
      <c r="H866" s="88"/>
      <c r="I866" s="151"/>
      <c r="J866" s="88"/>
      <c r="K866" s="151"/>
      <c r="L866" s="151"/>
      <c r="M866" s="88"/>
    </row>
    <row r="867" spans="1:13" ht="12">
      <c r="A867" s="93">
        <v>16</v>
      </c>
      <c r="B867" s="93"/>
      <c r="E867" s="93">
        <v>16</v>
      </c>
      <c r="F867" s="93"/>
      <c r="G867" s="68"/>
      <c r="H867" s="88"/>
      <c r="I867" s="151"/>
      <c r="J867" s="88"/>
      <c r="K867" s="151"/>
      <c r="L867" s="151"/>
      <c r="M867" s="88"/>
    </row>
    <row r="868" spans="1:13" ht="12">
      <c r="A868" s="93">
        <v>17</v>
      </c>
      <c r="B868" s="93"/>
      <c r="C868" s="94"/>
      <c r="D868" s="95"/>
      <c r="E868" s="93">
        <v>17</v>
      </c>
      <c r="F868" s="93"/>
      <c r="G868" s="68"/>
      <c r="H868" s="88"/>
      <c r="I868" s="151"/>
      <c r="J868" s="88"/>
      <c r="K868" s="151"/>
      <c r="L868" s="151"/>
      <c r="M868" s="88"/>
    </row>
    <row r="869" spans="1:13" ht="12">
      <c r="A869" s="93">
        <v>18</v>
      </c>
      <c r="B869" s="93"/>
      <c r="C869" s="95"/>
      <c r="D869" s="95"/>
      <c r="E869" s="93">
        <v>18</v>
      </c>
      <c r="F869" s="93"/>
      <c r="G869" s="68"/>
      <c r="H869" s="88"/>
      <c r="I869" s="151"/>
      <c r="J869" s="88"/>
      <c r="K869" s="151"/>
      <c r="L869" s="151"/>
      <c r="M869" s="88"/>
    </row>
    <row r="870" spans="1:13" ht="12">
      <c r="A870" s="93"/>
      <c r="B870" s="93"/>
      <c r="C870" s="128"/>
      <c r="D870" s="95"/>
      <c r="E870" s="93"/>
      <c r="F870" s="93"/>
      <c r="G870" s="90" t="s">
        <v>1</v>
      </c>
      <c r="H870" s="90" t="s">
        <v>1</v>
      </c>
      <c r="I870" s="90" t="s">
        <v>1</v>
      </c>
      <c r="J870" s="90" t="s">
        <v>1</v>
      </c>
      <c r="K870" s="90" t="s">
        <v>1</v>
      </c>
      <c r="L870" s="90"/>
      <c r="M870" s="90" t="s">
        <v>1</v>
      </c>
    </row>
    <row r="871" spans="1:13" ht="12">
      <c r="A871" s="93">
        <v>19</v>
      </c>
      <c r="B871" s="93"/>
      <c r="C871" s="7" t="s">
        <v>456</v>
      </c>
      <c r="D871" s="95"/>
      <c r="E871" s="93">
        <v>19</v>
      </c>
      <c r="F871" s="93"/>
      <c r="H871" s="189">
        <f>SUM(H863:H869)-H865</f>
        <v>52487666.92</v>
      </c>
      <c r="J871" s="189">
        <f>SUM(J863:J869)-J865</f>
        <v>58477497.120000005</v>
      </c>
      <c r="K871" s="151"/>
      <c r="L871" s="151"/>
      <c r="M871" s="189">
        <f>SUM(M863:M869)-M865</f>
        <v>58614428</v>
      </c>
    </row>
    <row r="872" spans="1:13" ht="12">
      <c r="A872" s="93"/>
      <c r="B872" s="93"/>
      <c r="C872" s="128"/>
      <c r="D872" s="95"/>
      <c r="E872" s="93"/>
      <c r="F872" s="93"/>
      <c r="G872" s="90" t="s">
        <v>1</v>
      </c>
      <c r="H872" s="90" t="s">
        <v>1</v>
      </c>
      <c r="I872" s="90" t="s">
        <v>1</v>
      </c>
      <c r="J872" s="90" t="s">
        <v>1</v>
      </c>
      <c r="K872" s="90" t="s">
        <v>1</v>
      </c>
      <c r="L872" s="90"/>
      <c r="M872" s="90" t="s">
        <v>1</v>
      </c>
    </row>
    <row r="873" spans="1:10" ht="12">
      <c r="A873" s="93"/>
      <c r="B873" s="93"/>
      <c r="C873" s="95"/>
      <c r="D873" s="95"/>
      <c r="E873" s="93"/>
      <c r="F873" s="93"/>
      <c r="J873" s="88"/>
    </row>
    <row r="874" spans="1:13" ht="12">
      <c r="A874" s="93">
        <v>20</v>
      </c>
      <c r="B874" s="93"/>
      <c r="C874" s="12" t="s">
        <v>457</v>
      </c>
      <c r="E874" s="93">
        <v>20</v>
      </c>
      <c r="F874" s="93"/>
      <c r="G874" s="68"/>
      <c r="H874" s="59">
        <f>SUM(H860,H871)</f>
        <v>53578368.940000005</v>
      </c>
      <c r="I874" s="68"/>
      <c r="J874" s="59">
        <f>SUM(J860,J871)</f>
        <v>59050334.400000006</v>
      </c>
      <c r="K874" s="68"/>
      <c r="L874" s="68"/>
      <c r="M874" s="59">
        <f>SUM(M860,M871)</f>
        <v>59188422</v>
      </c>
    </row>
    <row r="875" spans="3:13" ht="12">
      <c r="C875" s="12" t="s">
        <v>88</v>
      </c>
      <c r="E875" s="50"/>
      <c r="F875" s="50"/>
      <c r="G875" s="90" t="s">
        <v>1</v>
      </c>
      <c r="H875" s="90" t="s">
        <v>1</v>
      </c>
      <c r="I875" s="90" t="s">
        <v>1</v>
      </c>
      <c r="J875" s="90" t="s">
        <v>1</v>
      </c>
      <c r="K875" s="90" t="s">
        <v>1</v>
      </c>
      <c r="L875" s="90"/>
      <c r="M875" s="90" t="s">
        <v>1</v>
      </c>
    </row>
    <row r="876" ht="12">
      <c r="C876" s="12" t="s">
        <v>0</v>
      </c>
    </row>
    <row r="877" spans="3:10" ht="12">
      <c r="C877" s="215"/>
      <c r="D877" s="25"/>
      <c r="I877" s="5"/>
      <c r="J877" s="59"/>
    </row>
    <row r="878" spans="1:13" ht="12">
      <c r="A878" s="16" t="s">
        <v>320</v>
      </c>
      <c r="B878" s="16"/>
      <c r="C878" s="215"/>
      <c r="D878" s="25"/>
      <c r="I878" s="5"/>
      <c r="J878" s="59"/>
      <c r="M878" s="146" t="s">
        <v>99</v>
      </c>
    </row>
    <row r="879" spans="1:13" ht="12">
      <c r="A879" s="267" t="s">
        <v>458</v>
      </c>
      <c r="B879" s="267"/>
      <c r="C879" s="267"/>
      <c r="D879" s="267"/>
      <c r="E879" s="267"/>
      <c r="F879" s="267"/>
      <c r="G879" s="267"/>
      <c r="H879" s="267"/>
      <c r="I879" s="267"/>
      <c r="J879" s="267"/>
      <c r="K879" s="267"/>
      <c r="L879" s="267"/>
      <c r="M879" s="267"/>
    </row>
    <row r="880" spans="1:13" ht="12">
      <c r="A880" s="272" t="s">
        <v>351</v>
      </c>
      <c r="B880" s="272"/>
      <c r="C880" s="272"/>
      <c r="D880" s="272"/>
      <c r="E880" s="272"/>
      <c r="F880" s="272"/>
      <c r="G880" s="272"/>
      <c r="H880" s="272"/>
      <c r="M880" s="207" t="s">
        <v>293</v>
      </c>
    </row>
    <row r="881" spans="1:13" ht="12">
      <c r="A881" s="21" t="s">
        <v>1</v>
      </c>
      <c r="B881" s="21"/>
      <c r="C881" s="216" t="s">
        <v>1</v>
      </c>
      <c r="D881" s="21" t="s">
        <v>1</v>
      </c>
      <c r="E881" s="21" t="s">
        <v>1</v>
      </c>
      <c r="F881" s="21"/>
      <c r="G881" s="21" t="s">
        <v>1</v>
      </c>
      <c r="H881" s="21" t="s">
        <v>1</v>
      </c>
      <c r="I881" s="21" t="s">
        <v>1</v>
      </c>
      <c r="J881" s="21" t="s">
        <v>1</v>
      </c>
      <c r="K881" s="21" t="s">
        <v>1</v>
      </c>
      <c r="L881" s="21"/>
      <c r="M881" s="21" t="s">
        <v>1</v>
      </c>
    </row>
    <row r="882" spans="1:13" ht="12">
      <c r="A882" s="24" t="s">
        <v>2</v>
      </c>
      <c r="B882" s="24"/>
      <c r="C882" s="215"/>
      <c r="D882" s="25"/>
      <c r="E882" s="24" t="s">
        <v>2</v>
      </c>
      <c r="F882" s="24"/>
      <c r="G882" s="273" t="s">
        <v>459</v>
      </c>
      <c r="H882" s="273"/>
      <c r="I882" s="273" t="s">
        <v>252</v>
      </c>
      <c r="J882" s="273"/>
      <c r="K882" s="273" t="s">
        <v>269</v>
      </c>
      <c r="L882" s="273"/>
      <c r="M882" s="273"/>
    </row>
    <row r="883" spans="1:13" ht="24">
      <c r="A883" s="24" t="s">
        <v>4</v>
      </c>
      <c r="B883" s="24"/>
      <c r="C883" s="217" t="s">
        <v>460</v>
      </c>
      <c r="D883" s="218" t="s">
        <v>461</v>
      </c>
      <c r="E883" s="24" t="s">
        <v>4</v>
      </c>
      <c r="F883" s="24"/>
      <c r="G883" s="130" t="s">
        <v>92</v>
      </c>
      <c r="H883" s="130" t="s">
        <v>93</v>
      </c>
      <c r="I883" s="130" t="s">
        <v>92</v>
      </c>
      <c r="J883" s="130" t="s">
        <v>93</v>
      </c>
      <c r="K883" s="130" t="s">
        <v>92</v>
      </c>
      <c r="L883" s="130"/>
      <c r="M883" s="130" t="s">
        <v>93</v>
      </c>
    </row>
    <row r="884" spans="3:13" ht="12">
      <c r="C884" s="215"/>
      <c r="D884" s="218" t="s">
        <v>462</v>
      </c>
      <c r="E884" s="25"/>
      <c r="F884" s="25"/>
      <c r="G884" s="149" t="s">
        <v>463</v>
      </c>
      <c r="H884" s="130" t="s">
        <v>95</v>
      </c>
      <c r="I884" s="149" t="s">
        <v>463</v>
      </c>
      <c r="J884" s="130" t="s">
        <v>95</v>
      </c>
      <c r="K884" s="149" t="s">
        <v>463</v>
      </c>
      <c r="L884" s="149"/>
      <c r="M884" s="130" t="s">
        <v>95</v>
      </c>
    </row>
    <row r="885" spans="1:13" ht="12">
      <c r="A885" s="21" t="s">
        <v>1</v>
      </c>
      <c r="B885" s="21"/>
      <c r="C885" s="216" t="s">
        <v>1</v>
      </c>
      <c r="D885" s="21" t="s">
        <v>1</v>
      </c>
      <c r="E885" s="21" t="s">
        <v>1</v>
      </c>
      <c r="F885" s="21"/>
      <c r="G885" s="21" t="s">
        <v>1</v>
      </c>
      <c r="H885" s="21" t="s">
        <v>1</v>
      </c>
      <c r="I885" s="21" t="s">
        <v>1</v>
      </c>
      <c r="J885" s="21" t="s">
        <v>1</v>
      </c>
      <c r="K885" s="21" t="s">
        <v>1</v>
      </c>
      <c r="L885" s="21"/>
      <c r="M885" s="143" t="s">
        <v>1</v>
      </c>
    </row>
    <row r="886" spans="1:13" ht="12">
      <c r="A886" s="11">
        <v>1</v>
      </c>
      <c r="B886" s="11"/>
      <c r="C886" s="7" t="s">
        <v>96</v>
      </c>
      <c r="E886" s="11">
        <v>1</v>
      </c>
      <c r="F886" s="11"/>
      <c r="G886" s="189"/>
      <c r="H886" s="189"/>
      <c r="I886" s="189"/>
      <c r="J886" s="189"/>
      <c r="K886" s="189"/>
      <c r="L886" s="189"/>
      <c r="M886" s="189"/>
    </row>
    <row r="887" spans="1:13" ht="12">
      <c r="A887" s="11">
        <v>2</v>
      </c>
      <c r="B887" s="11"/>
      <c r="C887" s="7" t="s">
        <v>464</v>
      </c>
      <c r="D887" s="7" t="s">
        <v>465</v>
      </c>
      <c r="E887" s="11">
        <v>2</v>
      </c>
      <c r="F887" s="11"/>
      <c r="G887" s="189"/>
      <c r="H887" s="189">
        <v>3760000</v>
      </c>
      <c r="I887" s="189"/>
      <c r="J887" s="189"/>
      <c r="K887" s="189"/>
      <c r="L887" s="189"/>
      <c r="M887" s="189"/>
    </row>
    <row r="888" spans="1:13" ht="12">
      <c r="A888" s="11">
        <v>3</v>
      </c>
      <c r="B888" s="11"/>
      <c r="C888" s="7" t="s">
        <v>466</v>
      </c>
      <c r="D888" s="7" t="s">
        <v>467</v>
      </c>
      <c r="E888" s="11">
        <v>3</v>
      </c>
      <c r="F888" s="11"/>
      <c r="G888" s="189">
        <f>2236422</f>
        <v>2236422</v>
      </c>
      <c r="H888" s="189">
        <f>4931994</f>
        <v>4931994</v>
      </c>
      <c r="I888" s="88"/>
      <c r="J888" s="189"/>
      <c r="K888" s="189"/>
      <c r="L888" s="189"/>
      <c r="M888" s="189"/>
    </row>
    <row r="889" spans="1:13" ht="12">
      <c r="A889" s="11">
        <v>4</v>
      </c>
      <c r="B889" s="11"/>
      <c r="C889" s="7" t="s">
        <v>466</v>
      </c>
      <c r="D889" s="7" t="s">
        <v>289</v>
      </c>
      <c r="E889" s="11">
        <v>4</v>
      </c>
      <c r="F889" s="11"/>
      <c r="G889" s="189"/>
      <c r="I889" s="189">
        <f>9168742</f>
        <v>9168742</v>
      </c>
      <c r="J889" s="189">
        <f>20219881</f>
        <v>20219881</v>
      </c>
      <c r="K889" s="189"/>
      <c r="L889" s="189"/>
      <c r="M889" s="189"/>
    </row>
    <row r="890" spans="1:13" ht="12">
      <c r="A890" s="11">
        <v>5</v>
      </c>
      <c r="B890" s="11"/>
      <c r="C890" s="7" t="s">
        <v>466</v>
      </c>
      <c r="D890" s="7" t="s">
        <v>287</v>
      </c>
      <c r="E890" s="11">
        <v>5</v>
      </c>
      <c r="F890" s="11"/>
      <c r="G890" s="189"/>
      <c r="K890" s="189">
        <f>7070000</f>
        <v>7070000</v>
      </c>
      <c r="L890" s="189"/>
      <c r="M890" s="189">
        <f>19895263</f>
        <v>19895263</v>
      </c>
    </row>
    <row r="891" spans="1:13" ht="12">
      <c r="A891" s="11">
        <v>6</v>
      </c>
      <c r="B891" s="11"/>
      <c r="C891" s="7" t="s">
        <v>468</v>
      </c>
      <c r="D891" s="7" t="s">
        <v>469</v>
      </c>
      <c r="E891" s="11">
        <v>6</v>
      </c>
      <c r="F891" s="11"/>
      <c r="H891" s="189">
        <f>5712500</f>
        <v>5712500</v>
      </c>
      <c r="I891" s="189"/>
      <c r="J891" s="189"/>
      <c r="K891" s="189"/>
      <c r="L891" s="189"/>
      <c r="M891" s="189"/>
    </row>
    <row r="892" spans="1:13" ht="12">
      <c r="A892" s="11">
        <v>7</v>
      </c>
      <c r="B892" s="11"/>
      <c r="C892" s="7" t="s">
        <v>470</v>
      </c>
      <c r="D892" s="7" t="s">
        <v>289</v>
      </c>
      <c r="E892" s="11">
        <v>7</v>
      </c>
      <c r="F892" s="11"/>
      <c r="G892" s="189"/>
      <c r="J892" s="189">
        <f>5101051</f>
        <v>5101051</v>
      </c>
      <c r="K892" s="189"/>
      <c r="L892" s="189"/>
      <c r="M892" s="189"/>
    </row>
    <row r="893" spans="1:13" ht="12">
      <c r="A893" s="11">
        <v>8</v>
      </c>
      <c r="B893" s="11"/>
      <c r="C893" s="7" t="s">
        <v>471</v>
      </c>
      <c r="D893" s="7" t="s">
        <v>472</v>
      </c>
      <c r="E893" s="11">
        <v>8</v>
      </c>
      <c r="F893" s="11"/>
      <c r="G893" s="189"/>
      <c r="H893" s="189"/>
      <c r="I893" s="189"/>
      <c r="J893" s="189">
        <v>12960000</v>
      </c>
      <c r="K893" s="189"/>
      <c r="L893" s="189"/>
      <c r="M893" s="189"/>
    </row>
    <row r="894" spans="1:13" ht="12">
      <c r="A894" s="11">
        <v>9</v>
      </c>
      <c r="B894" s="11"/>
      <c r="C894" s="7" t="s">
        <v>473</v>
      </c>
      <c r="D894" s="7" t="s">
        <v>472</v>
      </c>
      <c r="E894" s="11">
        <v>9</v>
      </c>
      <c r="F894" s="11"/>
      <c r="G894" s="189"/>
      <c r="H894" s="189"/>
      <c r="I894" s="189"/>
      <c r="J894" s="189">
        <v>2637041</v>
      </c>
      <c r="K894" s="189"/>
      <c r="L894" s="189"/>
      <c r="M894" s="189"/>
    </row>
    <row r="895" spans="1:13" ht="12">
      <c r="A895" s="11">
        <v>10</v>
      </c>
      <c r="B895" s="11"/>
      <c r="C895" s="7" t="s">
        <v>474</v>
      </c>
      <c r="D895" s="7" t="s">
        <v>472</v>
      </c>
      <c r="E895" s="11">
        <v>10</v>
      </c>
      <c r="F895" s="11"/>
      <c r="G895" s="189"/>
      <c r="H895" s="189"/>
      <c r="I895" s="189"/>
      <c r="J895" s="189">
        <v>67000000</v>
      </c>
      <c r="K895" s="189"/>
      <c r="L895" s="189"/>
      <c r="M895" s="189"/>
    </row>
    <row r="896" spans="1:13" ht="12">
      <c r="A896" s="11">
        <v>11</v>
      </c>
      <c r="B896" s="11"/>
      <c r="C896" s="7" t="s">
        <v>475</v>
      </c>
      <c r="D896" s="7" t="s">
        <v>476</v>
      </c>
      <c r="E896" s="11">
        <v>11</v>
      </c>
      <c r="F896" s="11"/>
      <c r="H896" s="189"/>
      <c r="I896" s="189">
        <f>2657767</f>
        <v>2657767</v>
      </c>
      <c r="J896" s="189">
        <f>285308</f>
        <v>285308</v>
      </c>
      <c r="K896" s="189"/>
      <c r="L896" s="189"/>
      <c r="M896" s="189"/>
    </row>
    <row r="897" spans="1:13" ht="12">
      <c r="A897" s="11">
        <v>12</v>
      </c>
      <c r="B897" s="11"/>
      <c r="C897" s="7" t="s">
        <v>477</v>
      </c>
      <c r="D897" s="7" t="s">
        <v>287</v>
      </c>
      <c r="E897" s="11">
        <v>12</v>
      </c>
      <c r="F897" s="11"/>
      <c r="J897" s="189"/>
      <c r="K897" s="189">
        <f>11559536</f>
        <v>11559536</v>
      </c>
      <c r="L897" s="189"/>
      <c r="M897" s="189">
        <f>1284396</f>
        <v>1284396</v>
      </c>
    </row>
    <row r="898" spans="1:13" ht="12">
      <c r="A898" s="11">
        <v>13</v>
      </c>
      <c r="B898" s="11"/>
      <c r="C898" s="7" t="s">
        <v>478</v>
      </c>
      <c r="D898" s="7" t="s">
        <v>476</v>
      </c>
      <c r="E898" s="11">
        <v>13</v>
      </c>
      <c r="F898" s="11"/>
      <c r="I898" s="189">
        <f>991015</f>
        <v>991015</v>
      </c>
      <c r="K898" s="189"/>
      <c r="L898" s="189"/>
      <c r="M898" s="189"/>
    </row>
    <row r="899" spans="1:13" ht="12">
      <c r="A899" s="11">
        <v>14</v>
      </c>
      <c r="B899" s="11"/>
      <c r="C899" s="7" t="s">
        <v>479</v>
      </c>
      <c r="D899" s="7" t="s">
        <v>287</v>
      </c>
      <c r="E899" s="11">
        <v>14</v>
      </c>
      <c r="F899" s="11"/>
      <c r="I899" s="189"/>
      <c r="J899" s="189"/>
      <c r="K899" s="189">
        <f>8435946</f>
        <v>8435946</v>
      </c>
      <c r="L899" s="189"/>
      <c r="M899" s="189"/>
    </row>
    <row r="900" spans="1:13" ht="12">
      <c r="A900" s="11">
        <v>15</v>
      </c>
      <c r="B900" s="11"/>
      <c r="C900" s="7" t="s">
        <v>480</v>
      </c>
      <c r="D900" s="7" t="s">
        <v>481</v>
      </c>
      <c r="E900" s="11">
        <v>15</v>
      </c>
      <c r="F900" s="11"/>
      <c r="I900" s="189"/>
      <c r="J900" s="189"/>
      <c r="K900" s="189"/>
      <c r="L900" s="189"/>
      <c r="M900" s="189">
        <f>41295359</f>
        <v>41295359</v>
      </c>
    </row>
    <row r="901" spans="1:13" ht="12">
      <c r="A901" s="11">
        <v>16</v>
      </c>
      <c r="B901" s="11"/>
      <c r="C901" s="7" t="s">
        <v>482</v>
      </c>
      <c r="D901" s="7" t="s">
        <v>481</v>
      </c>
      <c r="E901" s="11">
        <v>16</v>
      </c>
      <c r="F901" s="11"/>
      <c r="I901" s="189"/>
      <c r="J901" s="189"/>
      <c r="K901" s="189"/>
      <c r="L901" s="189"/>
      <c r="M901" s="189">
        <f>13894624</f>
        <v>13894624</v>
      </c>
    </row>
    <row r="902" spans="1:13" ht="12">
      <c r="A902" s="11">
        <v>17</v>
      </c>
      <c r="B902" s="11"/>
      <c r="C902" s="7" t="s">
        <v>483</v>
      </c>
      <c r="D902" s="7" t="s">
        <v>287</v>
      </c>
      <c r="E902" s="11">
        <v>17</v>
      </c>
      <c r="F902" s="11"/>
      <c r="I902" s="189"/>
      <c r="J902" s="189"/>
      <c r="K902" s="189"/>
      <c r="L902" s="189"/>
      <c r="M902" s="189">
        <f>12888973</f>
        <v>12888973</v>
      </c>
    </row>
    <row r="903" spans="1:13" ht="12">
      <c r="A903" s="11">
        <v>18</v>
      </c>
      <c r="B903" s="11"/>
      <c r="C903" s="7" t="s">
        <v>484</v>
      </c>
      <c r="D903" s="7" t="s">
        <v>481</v>
      </c>
      <c r="E903" s="11">
        <v>18</v>
      </c>
      <c r="F903" s="11"/>
      <c r="I903" s="189"/>
      <c r="J903" s="189"/>
      <c r="K903" s="189"/>
      <c r="L903" s="189"/>
      <c r="M903" s="189">
        <f>65595535</f>
        <v>65595535</v>
      </c>
    </row>
    <row r="904" spans="1:13" ht="12">
      <c r="A904" s="11">
        <v>19</v>
      </c>
      <c r="B904" s="11"/>
      <c r="C904" s="7" t="s">
        <v>485</v>
      </c>
      <c r="D904" s="7" t="s">
        <v>481</v>
      </c>
      <c r="E904" s="11">
        <v>19</v>
      </c>
      <c r="F904" s="11"/>
      <c r="I904" s="189"/>
      <c r="J904" s="189"/>
      <c r="K904" s="189"/>
      <c r="L904" s="189"/>
      <c r="M904" s="189">
        <f>75190106</f>
        <v>75190106</v>
      </c>
    </row>
    <row r="905" spans="1:13" ht="12">
      <c r="A905" s="11">
        <v>20</v>
      </c>
      <c r="B905" s="11"/>
      <c r="C905" s="7" t="s">
        <v>486</v>
      </c>
      <c r="D905" s="7" t="s">
        <v>481</v>
      </c>
      <c r="E905" s="11">
        <v>20</v>
      </c>
      <c r="F905" s="11"/>
      <c r="I905" s="189"/>
      <c r="J905" s="189"/>
      <c r="K905" s="189"/>
      <c r="L905" s="189"/>
      <c r="M905" s="189">
        <f>5500000</f>
        <v>5500000</v>
      </c>
    </row>
    <row r="906" spans="1:13" ht="12">
      <c r="A906" s="11">
        <v>21</v>
      </c>
      <c r="B906" s="11"/>
      <c r="C906" s="7" t="s">
        <v>487</v>
      </c>
      <c r="D906" s="7" t="s">
        <v>481</v>
      </c>
      <c r="E906" s="11">
        <v>21</v>
      </c>
      <c r="F906" s="11"/>
      <c r="I906" s="189"/>
      <c r="J906" s="189"/>
      <c r="K906" s="189"/>
      <c r="L906" s="189"/>
      <c r="M906" s="189">
        <f>2021000</f>
        <v>2021000</v>
      </c>
    </row>
    <row r="907" spans="1:13" ht="12">
      <c r="A907" s="11">
        <v>22</v>
      </c>
      <c r="B907" s="11"/>
      <c r="E907" s="11">
        <v>22</v>
      </c>
      <c r="F907" s="11"/>
      <c r="I907" s="189"/>
      <c r="J907" s="189"/>
      <c r="K907" s="189"/>
      <c r="L907" s="189"/>
      <c r="M907" s="189"/>
    </row>
    <row r="908" spans="1:13" ht="12">
      <c r="A908" s="11">
        <v>23</v>
      </c>
      <c r="B908" s="11"/>
      <c r="E908" s="11">
        <v>23</v>
      </c>
      <c r="F908" s="11"/>
      <c r="I908" s="189"/>
      <c r="J908" s="189"/>
      <c r="K908" s="189"/>
      <c r="L908" s="189"/>
      <c r="M908" s="189"/>
    </row>
    <row r="909" spans="1:13" ht="12">
      <c r="A909" s="7">
        <v>24</v>
      </c>
      <c r="E909" s="7">
        <v>24</v>
      </c>
      <c r="I909" s="189"/>
      <c r="J909" s="189"/>
      <c r="K909" s="189"/>
      <c r="L909" s="189"/>
      <c r="M909" s="189"/>
    </row>
    <row r="910" spans="1:13" ht="12">
      <c r="A910" s="7">
        <v>25</v>
      </c>
      <c r="E910" s="7">
        <v>25</v>
      </c>
      <c r="I910" s="189"/>
      <c r="J910" s="189"/>
      <c r="K910" s="189"/>
      <c r="L910" s="189"/>
      <c r="M910" s="189"/>
    </row>
    <row r="911" spans="1:13" ht="12">
      <c r="A911" s="7" t="s">
        <v>488</v>
      </c>
      <c r="I911" s="189"/>
      <c r="J911" s="189"/>
      <c r="K911" s="189"/>
      <c r="L911" s="189"/>
      <c r="M911" s="189"/>
    </row>
    <row r="912" spans="9:13" ht="12">
      <c r="I912" s="189"/>
      <c r="J912" s="189"/>
      <c r="K912" s="189"/>
      <c r="L912" s="189"/>
      <c r="M912" s="189"/>
    </row>
    <row r="913" spans="1:13" ht="12">
      <c r="A913" s="156" t="s">
        <v>489</v>
      </c>
      <c r="B913" s="156"/>
      <c r="I913" s="189"/>
      <c r="J913" s="189"/>
      <c r="K913" s="189"/>
      <c r="L913" s="189"/>
      <c r="M913" s="189"/>
    </row>
    <row r="914" spans="1:13" ht="12">
      <c r="A914" s="156" t="s">
        <v>490</v>
      </c>
      <c r="B914" s="156"/>
      <c r="D914" s="90"/>
      <c r="E914" s="90"/>
      <c r="F914" s="90"/>
      <c r="G914" s="143"/>
      <c r="H914" s="143"/>
      <c r="I914" s="143"/>
      <c r="J914" s="143"/>
      <c r="K914" s="143"/>
      <c r="L914" s="143"/>
      <c r="M914" s="143"/>
    </row>
    <row r="915" spans="1:13" ht="12">
      <c r="A915" s="7" t="s">
        <v>491</v>
      </c>
      <c r="D915" s="90"/>
      <c r="E915" s="90"/>
      <c r="F915" s="90"/>
      <c r="G915" s="143"/>
      <c r="H915" s="143"/>
      <c r="I915" s="143"/>
      <c r="J915" s="143"/>
      <c r="K915" s="143"/>
      <c r="L915" s="143"/>
      <c r="M915" s="143"/>
    </row>
    <row r="916" spans="3:10" ht="12">
      <c r="C916" s="215"/>
      <c r="D916" s="25"/>
      <c r="I916" s="5"/>
      <c r="J916" s="59"/>
    </row>
    <row r="917" spans="1:13" ht="12">
      <c r="A917" s="16" t="s">
        <v>320</v>
      </c>
      <c r="B917" s="16"/>
      <c r="C917" s="215"/>
      <c r="D917" s="25"/>
      <c r="I917" s="5"/>
      <c r="J917" s="59"/>
      <c r="M917" s="146" t="s">
        <v>99</v>
      </c>
    </row>
    <row r="918" spans="1:13" ht="12">
      <c r="A918" s="267" t="s">
        <v>492</v>
      </c>
      <c r="B918" s="267"/>
      <c r="C918" s="267"/>
      <c r="D918" s="267"/>
      <c r="E918" s="267"/>
      <c r="F918" s="267"/>
      <c r="G918" s="267"/>
      <c r="H918" s="267"/>
      <c r="I918" s="267"/>
      <c r="J918" s="267"/>
      <c r="K918" s="267"/>
      <c r="L918" s="267"/>
      <c r="M918" s="267"/>
    </row>
    <row r="919" spans="1:13" ht="12">
      <c r="A919" s="272" t="s">
        <v>351</v>
      </c>
      <c r="B919" s="272"/>
      <c r="C919" s="272"/>
      <c r="D919" s="272"/>
      <c r="E919" s="272"/>
      <c r="F919" s="272"/>
      <c r="G919" s="272"/>
      <c r="H919" s="272"/>
      <c r="M919" s="207" t="s">
        <v>293</v>
      </c>
    </row>
    <row r="920" spans="1:13" ht="12">
      <c r="A920" s="21" t="s">
        <v>1</v>
      </c>
      <c r="B920" s="21"/>
      <c r="C920" s="216" t="s">
        <v>1</v>
      </c>
      <c r="D920" s="21" t="s">
        <v>1</v>
      </c>
      <c r="E920" s="21" t="s">
        <v>1</v>
      </c>
      <c r="F920" s="21"/>
      <c r="G920" s="21" t="s">
        <v>1</v>
      </c>
      <c r="H920" s="21" t="s">
        <v>1</v>
      </c>
      <c r="I920" s="21" t="s">
        <v>1</v>
      </c>
      <c r="J920" s="21" t="s">
        <v>1</v>
      </c>
      <c r="K920" s="21" t="s">
        <v>1</v>
      </c>
      <c r="L920" s="21"/>
      <c r="M920" s="21" t="s">
        <v>1</v>
      </c>
    </row>
    <row r="921" spans="1:13" ht="12">
      <c r="A921" s="24" t="s">
        <v>2</v>
      </c>
      <c r="B921" s="24"/>
      <c r="C921" s="215"/>
      <c r="D921" s="25"/>
      <c r="E921" s="24" t="s">
        <v>2</v>
      </c>
      <c r="F921" s="24"/>
      <c r="G921" s="273" t="s">
        <v>459</v>
      </c>
      <c r="H921" s="273"/>
      <c r="I921" s="273" t="s">
        <v>252</v>
      </c>
      <c r="J921" s="273"/>
      <c r="K921" s="273" t="s">
        <v>269</v>
      </c>
      <c r="L921" s="273"/>
      <c r="M921" s="273"/>
    </row>
    <row r="922" spans="1:13" ht="24">
      <c r="A922" s="24" t="s">
        <v>4</v>
      </c>
      <c r="B922" s="24"/>
      <c r="C922" s="217" t="s">
        <v>460</v>
      </c>
      <c r="D922" s="218" t="s">
        <v>461</v>
      </c>
      <c r="E922" s="24" t="s">
        <v>4</v>
      </c>
      <c r="F922" s="24"/>
      <c r="G922" s="130" t="s">
        <v>92</v>
      </c>
      <c r="H922" s="130" t="s">
        <v>93</v>
      </c>
      <c r="I922" s="130" t="s">
        <v>92</v>
      </c>
      <c r="J922" s="130" t="s">
        <v>93</v>
      </c>
      <c r="K922" s="130" t="s">
        <v>92</v>
      </c>
      <c r="L922" s="130"/>
      <c r="M922" s="130" t="s">
        <v>93</v>
      </c>
    </row>
    <row r="923" spans="3:13" ht="12">
      <c r="C923" s="215"/>
      <c r="D923" s="218" t="s">
        <v>462</v>
      </c>
      <c r="E923" s="25"/>
      <c r="F923" s="25"/>
      <c r="G923" s="149" t="s">
        <v>463</v>
      </c>
      <c r="H923" s="130" t="s">
        <v>95</v>
      </c>
      <c r="I923" s="149" t="s">
        <v>463</v>
      </c>
      <c r="J923" s="130" t="s">
        <v>95</v>
      </c>
      <c r="K923" s="149" t="s">
        <v>463</v>
      </c>
      <c r="L923" s="149"/>
      <c r="M923" s="130" t="s">
        <v>95</v>
      </c>
    </row>
    <row r="924" spans="1:13" ht="12">
      <c r="A924" s="21" t="s">
        <v>1</v>
      </c>
      <c r="B924" s="21"/>
      <c r="C924" s="216" t="s">
        <v>1</v>
      </c>
      <c r="D924" s="21" t="s">
        <v>1</v>
      </c>
      <c r="E924" s="21" t="s">
        <v>1</v>
      </c>
      <c r="F924" s="21"/>
      <c r="G924" s="21" t="s">
        <v>1</v>
      </c>
      <c r="H924" s="21" t="s">
        <v>1</v>
      </c>
      <c r="I924" s="21" t="s">
        <v>1</v>
      </c>
      <c r="J924" s="21" t="s">
        <v>1</v>
      </c>
      <c r="K924" s="21" t="s">
        <v>1</v>
      </c>
      <c r="L924" s="21"/>
      <c r="M924" s="143" t="s">
        <v>1</v>
      </c>
    </row>
    <row r="925" spans="1:13" ht="12">
      <c r="A925" s="11">
        <v>26</v>
      </c>
      <c r="B925" s="11"/>
      <c r="C925" s="219" t="s">
        <v>97</v>
      </c>
      <c r="D925" s="220"/>
      <c r="E925" s="11">
        <v>26</v>
      </c>
      <c r="F925" s="11"/>
      <c r="I925" s="189"/>
      <c r="J925" s="189"/>
      <c r="K925" s="189"/>
      <c r="L925" s="189"/>
      <c r="M925" s="189"/>
    </row>
    <row r="926" spans="1:13" ht="24">
      <c r="A926" s="11">
        <v>27</v>
      </c>
      <c r="B926" s="11"/>
      <c r="C926" s="219" t="s">
        <v>493</v>
      </c>
      <c r="D926" s="221" t="s">
        <v>288</v>
      </c>
      <c r="E926" s="11">
        <v>27</v>
      </c>
      <c r="F926" s="11"/>
      <c r="G926" s="189">
        <f>658848</f>
        <v>658848</v>
      </c>
      <c r="H926" s="189"/>
      <c r="I926" s="189"/>
      <c r="J926" s="189"/>
      <c r="K926" s="189"/>
      <c r="L926" s="189"/>
      <c r="M926" s="189"/>
    </row>
    <row r="927" spans="1:13" ht="12">
      <c r="A927" s="11">
        <v>28</v>
      </c>
      <c r="B927" s="11"/>
      <c r="C927" s="7" t="s">
        <v>494</v>
      </c>
      <c r="D927" s="221" t="s">
        <v>288</v>
      </c>
      <c r="E927" s="11">
        <v>28</v>
      </c>
      <c r="F927" s="11"/>
      <c r="G927" s="189">
        <f>540649</f>
        <v>540649</v>
      </c>
      <c r="H927" s="189"/>
      <c r="I927" s="189"/>
      <c r="J927" s="189"/>
      <c r="K927" s="189"/>
      <c r="L927" s="189"/>
      <c r="M927" s="189"/>
    </row>
    <row r="928" spans="1:13" ht="12">
      <c r="A928" s="11">
        <v>29</v>
      </c>
      <c r="B928" s="11"/>
      <c r="C928" s="7" t="s">
        <v>495</v>
      </c>
      <c r="D928" s="7" t="s">
        <v>289</v>
      </c>
      <c r="E928" s="11">
        <v>29</v>
      </c>
      <c r="F928" s="11"/>
      <c r="H928" s="189"/>
      <c r="I928" s="189">
        <f>507011</f>
        <v>507011</v>
      </c>
      <c r="J928" s="189"/>
      <c r="K928" s="189"/>
      <c r="L928" s="189"/>
      <c r="M928" s="189"/>
    </row>
    <row r="929" spans="1:13" ht="24">
      <c r="A929" s="11">
        <v>30</v>
      </c>
      <c r="B929" s="11"/>
      <c r="C929" s="219" t="s">
        <v>496</v>
      </c>
      <c r="D929" s="221" t="s">
        <v>288</v>
      </c>
      <c r="E929" s="11">
        <v>30</v>
      </c>
      <c r="F929" s="11"/>
      <c r="G929" s="189">
        <f>889618</f>
        <v>889618</v>
      </c>
      <c r="H929" s="189"/>
      <c r="I929" s="189"/>
      <c r="J929" s="189"/>
      <c r="K929" s="189"/>
      <c r="L929" s="189"/>
      <c r="M929" s="189"/>
    </row>
    <row r="930" spans="1:13" ht="24">
      <c r="A930" s="11">
        <v>31</v>
      </c>
      <c r="B930" s="11"/>
      <c r="C930" s="219" t="s">
        <v>497</v>
      </c>
      <c r="D930" s="7" t="s">
        <v>289</v>
      </c>
      <c r="E930" s="11">
        <v>31</v>
      </c>
      <c r="F930" s="11"/>
      <c r="G930" s="189"/>
      <c r="H930" s="189"/>
      <c r="I930" s="189">
        <f>765766</f>
        <v>765766</v>
      </c>
      <c r="J930" s="189"/>
      <c r="K930" s="189"/>
      <c r="L930" s="189"/>
      <c r="M930" s="189"/>
    </row>
    <row r="931" spans="1:13" ht="12">
      <c r="A931" s="11">
        <v>32</v>
      </c>
      <c r="B931" s="11"/>
      <c r="C931" s="7" t="s">
        <v>498</v>
      </c>
      <c r="D931" s="7" t="s">
        <v>289</v>
      </c>
      <c r="E931" s="11">
        <v>32</v>
      </c>
      <c r="F931" s="11"/>
      <c r="G931" s="189"/>
      <c r="H931" s="189"/>
      <c r="I931" s="189">
        <f>451742</f>
        <v>451742</v>
      </c>
      <c r="J931" s="189"/>
      <c r="K931" s="189"/>
      <c r="L931" s="189"/>
      <c r="M931" s="189"/>
    </row>
    <row r="932" spans="1:13" ht="12">
      <c r="A932" s="11">
        <v>33</v>
      </c>
      <c r="B932" s="11"/>
      <c r="C932" s="7" t="s">
        <v>499</v>
      </c>
      <c r="D932" s="7" t="s">
        <v>289</v>
      </c>
      <c r="E932" s="11">
        <v>33</v>
      </c>
      <c r="F932" s="11"/>
      <c r="G932" s="189"/>
      <c r="H932" s="189"/>
      <c r="I932" s="189">
        <f>425252</f>
        <v>425252</v>
      </c>
      <c r="J932" s="189"/>
      <c r="K932" s="189"/>
      <c r="L932" s="189"/>
      <c r="M932" s="189"/>
    </row>
    <row r="933" spans="1:13" ht="12">
      <c r="A933" s="11">
        <v>34</v>
      </c>
      <c r="B933" s="11"/>
      <c r="C933" s="7" t="s">
        <v>500</v>
      </c>
      <c r="D933" s="7" t="s">
        <v>289</v>
      </c>
      <c r="E933" s="11">
        <v>34</v>
      </c>
      <c r="F933" s="11"/>
      <c r="G933" s="189"/>
      <c r="H933" s="189"/>
      <c r="I933" s="189">
        <f>362351</f>
        <v>362351</v>
      </c>
      <c r="J933" s="189"/>
      <c r="K933" s="189"/>
      <c r="L933" s="189"/>
      <c r="M933" s="189"/>
    </row>
    <row r="934" spans="1:13" ht="12">
      <c r="A934" s="11">
        <v>35</v>
      </c>
      <c r="B934" s="11"/>
      <c r="C934" s="7" t="s">
        <v>501</v>
      </c>
      <c r="D934" s="7" t="s">
        <v>289</v>
      </c>
      <c r="E934" s="11">
        <v>35</v>
      </c>
      <c r="F934" s="11"/>
      <c r="G934" s="189"/>
      <c r="H934" s="189"/>
      <c r="I934" s="189">
        <f>535203</f>
        <v>535203</v>
      </c>
      <c r="J934" s="189"/>
      <c r="K934" s="189"/>
      <c r="L934" s="189"/>
      <c r="M934" s="189"/>
    </row>
    <row r="935" spans="1:13" ht="12">
      <c r="A935" s="11">
        <v>36</v>
      </c>
      <c r="B935" s="11"/>
      <c r="C935" s="7" t="s">
        <v>502</v>
      </c>
      <c r="D935" s="7" t="s">
        <v>289</v>
      </c>
      <c r="E935" s="11">
        <v>36</v>
      </c>
      <c r="F935" s="11"/>
      <c r="G935" s="189"/>
      <c r="H935" s="189"/>
      <c r="I935" s="189">
        <f>217568</f>
        <v>217568</v>
      </c>
      <c r="J935" s="189"/>
      <c r="K935" s="189"/>
      <c r="L935" s="189"/>
      <c r="M935" s="189"/>
    </row>
    <row r="936" spans="1:13" ht="12">
      <c r="A936" s="11">
        <v>37</v>
      </c>
      <c r="B936" s="11"/>
      <c r="C936" s="7" t="s">
        <v>503</v>
      </c>
      <c r="D936" s="7" t="s">
        <v>476</v>
      </c>
      <c r="E936" s="11">
        <v>37</v>
      </c>
      <c r="F936" s="11"/>
      <c r="I936" s="189">
        <f>100907</f>
        <v>100907</v>
      </c>
      <c r="K936" s="189"/>
      <c r="L936" s="189"/>
      <c r="M936" s="189"/>
    </row>
    <row r="937" spans="1:13" ht="12">
      <c r="A937" s="11">
        <v>38</v>
      </c>
      <c r="B937" s="11"/>
      <c r="C937" s="7" t="s">
        <v>504</v>
      </c>
      <c r="D937" s="7" t="s">
        <v>287</v>
      </c>
      <c r="E937" s="11">
        <v>38</v>
      </c>
      <c r="F937" s="11"/>
      <c r="I937" s="189"/>
      <c r="K937" s="189">
        <f>529720</f>
        <v>529720</v>
      </c>
      <c r="L937" s="189"/>
      <c r="M937" s="189"/>
    </row>
    <row r="938" spans="1:13" ht="12">
      <c r="A938" s="11">
        <v>39</v>
      </c>
      <c r="B938" s="11"/>
      <c r="C938" s="7" t="s">
        <v>505</v>
      </c>
      <c r="D938" s="7" t="s">
        <v>287</v>
      </c>
      <c r="E938" s="11">
        <v>39</v>
      </c>
      <c r="F938" s="11"/>
      <c r="I938" s="189"/>
      <c r="K938" s="189">
        <f>976767</f>
        <v>976767</v>
      </c>
      <c r="L938" s="189"/>
      <c r="M938" s="189"/>
    </row>
    <row r="939" spans="1:13" ht="12">
      <c r="A939" s="11">
        <v>40</v>
      </c>
      <c r="B939" s="11"/>
      <c r="C939" s="7" t="s">
        <v>506</v>
      </c>
      <c r="D939" s="7" t="s">
        <v>287</v>
      </c>
      <c r="E939" s="11">
        <v>40</v>
      </c>
      <c r="F939" s="11"/>
      <c r="I939" s="189"/>
      <c r="K939" s="189">
        <f>418063</f>
        <v>418063</v>
      </c>
      <c r="L939" s="189"/>
      <c r="M939" s="189"/>
    </row>
    <row r="940" spans="1:13" ht="12">
      <c r="A940" s="11">
        <v>41</v>
      </c>
      <c r="B940" s="11"/>
      <c r="E940" s="11">
        <v>41</v>
      </c>
      <c r="F940" s="11"/>
      <c r="I940" s="189"/>
      <c r="K940" s="189"/>
      <c r="L940" s="189"/>
      <c r="M940" s="189"/>
    </row>
    <row r="941" spans="1:13" ht="12">
      <c r="A941" s="11">
        <v>42</v>
      </c>
      <c r="B941" s="11"/>
      <c r="E941" s="11">
        <v>42</v>
      </c>
      <c r="F941" s="11"/>
      <c r="I941" s="189"/>
      <c r="K941" s="189"/>
      <c r="L941" s="189"/>
      <c r="M941" s="189"/>
    </row>
    <row r="942" spans="1:13" ht="12">
      <c r="A942" s="157">
        <v>43</v>
      </c>
      <c r="B942" s="157"/>
      <c r="E942" s="157">
        <v>43</v>
      </c>
      <c r="F942" s="157"/>
      <c r="I942" s="189"/>
      <c r="K942" s="189"/>
      <c r="L942" s="189"/>
      <c r="M942" s="189"/>
    </row>
    <row r="943" spans="1:13" ht="12">
      <c r="A943" s="157">
        <v>44</v>
      </c>
      <c r="B943" s="157"/>
      <c r="E943" s="157">
        <v>44</v>
      </c>
      <c r="F943" s="157"/>
      <c r="I943" s="189"/>
      <c r="K943" s="189"/>
      <c r="L943" s="189"/>
      <c r="M943" s="189"/>
    </row>
    <row r="944" spans="1:13" ht="12">
      <c r="A944" s="157">
        <v>45</v>
      </c>
      <c r="B944" s="157"/>
      <c r="E944" s="157">
        <v>45</v>
      </c>
      <c r="F944" s="157"/>
      <c r="I944" s="189"/>
      <c r="K944" s="189"/>
      <c r="L944" s="189"/>
      <c r="M944" s="189"/>
    </row>
    <row r="945" spans="1:13" ht="12">
      <c r="A945" s="157">
        <v>46</v>
      </c>
      <c r="B945" s="157"/>
      <c r="E945" s="157">
        <v>46</v>
      </c>
      <c r="F945" s="157"/>
      <c r="I945" s="189"/>
      <c r="K945" s="189"/>
      <c r="L945" s="189"/>
      <c r="M945" s="189"/>
    </row>
    <row r="946" spans="1:13" ht="12">
      <c r="A946" s="157">
        <v>47</v>
      </c>
      <c r="B946" s="157"/>
      <c r="E946" s="157">
        <v>47</v>
      </c>
      <c r="F946" s="157"/>
      <c r="I946" s="189"/>
      <c r="K946" s="189"/>
      <c r="L946" s="189"/>
      <c r="M946" s="189"/>
    </row>
    <row r="947" spans="1:13" ht="12">
      <c r="A947" s="157">
        <v>48</v>
      </c>
      <c r="B947" s="157"/>
      <c r="E947" s="157">
        <v>48</v>
      </c>
      <c r="F947" s="157"/>
      <c r="I947" s="189"/>
      <c r="K947" s="189"/>
      <c r="L947" s="189"/>
      <c r="M947" s="189"/>
    </row>
    <row r="948" spans="1:13" ht="12">
      <c r="A948" s="157">
        <v>49</v>
      </c>
      <c r="B948" s="157"/>
      <c r="E948" s="157">
        <v>49</v>
      </c>
      <c r="F948" s="157"/>
      <c r="I948" s="189"/>
      <c r="K948" s="189"/>
      <c r="L948" s="189"/>
      <c r="M948" s="189"/>
    </row>
    <row r="949" spans="1:13" ht="12">
      <c r="A949" s="158" t="s">
        <v>1</v>
      </c>
      <c r="B949" s="158"/>
      <c r="C949" s="23" t="s">
        <v>1</v>
      </c>
      <c r="D949" s="23" t="s">
        <v>1</v>
      </c>
      <c r="E949" s="158"/>
      <c r="F949" s="158"/>
      <c r="G949" s="143" t="s">
        <v>1</v>
      </c>
      <c r="H949" s="143" t="s">
        <v>1</v>
      </c>
      <c r="I949" s="143" t="s">
        <v>1</v>
      </c>
      <c r="J949" s="143" t="s">
        <v>1</v>
      </c>
      <c r="K949" s="143" t="s">
        <v>1</v>
      </c>
      <c r="L949" s="143"/>
      <c r="M949" s="143" t="s">
        <v>1</v>
      </c>
    </row>
    <row r="950" spans="1:13" ht="12">
      <c r="A950" s="157">
        <v>50</v>
      </c>
      <c r="B950" s="157"/>
      <c r="C950" s="217" t="s">
        <v>507</v>
      </c>
      <c r="D950" s="221"/>
      <c r="E950" s="157">
        <v>50</v>
      </c>
      <c r="F950" s="157"/>
      <c r="G950" s="59">
        <f aca="true" t="shared" si="40" ref="G950:M950">SUM(G886:G949)</f>
        <v>4325537</v>
      </c>
      <c r="H950" s="59">
        <f t="shared" si="40"/>
        <v>14404494</v>
      </c>
      <c r="I950" s="59">
        <f t="shared" si="40"/>
        <v>16183324</v>
      </c>
      <c r="J950" s="59">
        <f t="shared" si="40"/>
        <v>108203281</v>
      </c>
      <c r="K950" s="59">
        <f t="shared" si="40"/>
        <v>28990032</v>
      </c>
      <c r="L950" s="59"/>
      <c r="M950" s="59">
        <f t="shared" si="40"/>
        <v>237565256</v>
      </c>
    </row>
    <row r="951" spans="1:13" ht="12">
      <c r="A951" s="90" t="s">
        <v>1</v>
      </c>
      <c r="B951" s="90"/>
      <c r="C951" s="90" t="s">
        <v>1</v>
      </c>
      <c r="D951" s="90" t="s">
        <v>1</v>
      </c>
      <c r="E951" s="90"/>
      <c r="F951" s="90"/>
      <c r="G951" s="143" t="s">
        <v>1</v>
      </c>
      <c r="H951" s="143" t="s">
        <v>1</v>
      </c>
      <c r="I951" s="143" t="s">
        <v>1</v>
      </c>
      <c r="J951" s="143" t="s">
        <v>1</v>
      </c>
      <c r="K951" s="143" t="s">
        <v>1</v>
      </c>
      <c r="L951" s="143"/>
      <c r="M951" s="143" t="s">
        <v>1</v>
      </c>
    </row>
    <row r="952" spans="1:13" ht="12">
      <c r="A952" s="156" t="s">
        <v>489</v>
      </c>
      <c r="B952" s="156"/>
      <c r="C952" s="90"/>
      <c r="D952" s="90"/>
      <c r="E952" s="90"/>
      <c r="F952" s="90"/>
      <c r="G952" s="143"/>
      <c r="H952" s="143"/>
      <c r="I952" s="143"/>
      <c r="J952" s="143"/>
      <c r="K952" s="143"/>
      <c r="L952" s="143"/>
      <c r="M952" s="143"/>
    </row>
    <row r="953" spans="1:13" ht="12">
      <c r="A953" s="156" t="s">
        <v>490</v>
      </c>
      <c r="B953" s="156"/>
      <c r="D953" s="90"/>
      <c r="E953" s="90"/>
      <c r="F953" s="90"/>
      <c r="G953" s="143"/>
      <c r="H953" s="143"/>
      <c r="I953" s="143"/>
      <c r="J953" s="143"/>
      <c r="K953" s="143"/>
      <c r="L953" s="143"/>
      <c r="M953" s="143"/>
    </row>
    <row r="954" spans="1:13" ht="12">
      <c r="A954" s="7" t="s">
        <v>491</v>
      </c>
      <c r="C954" s="218"/>
      <c r="D954" s="90"/>
      <c r="E954" s="90"/>
      <c r="F954" s="90"/>
      <c r="G954" s="143"/>
      <c r="H954" s="143"/>
      <c r="I954" s="143"/>
      <c r="J954" s="143"/>
      <c r="K954" s="143"/>
      <c r="L954" s="143"/>
      <c r="M954" s="143"/>
    </row>
    <row r="955" spans="3:13" ht="12">
      <c r="C955" s="215"/>
      <c r="D955" s="25"/>
      <c r="I955" s="5"/>
      <c r="J955" s="59"/>
      <c r="M955" s="146"/>
    </row>
    <row r="956" spans="1:13" ht="12">
      <c r="A956" s="16" t="s">
        <v>320</v>
      </c>
      <c r="B956" s="16"/>
      <c r="C956" s="215"/>
      <c r="D956" s="25"/>
      <c r="I956" s="5"/>
      <c r="J956" s="59"/>
      <c r="M956" s="146"/>
    </row>
    <row r="957" spans="1:13" ht="12">
      <c r="A957" s="271" t="s">
        <v>508</v>
      </c>
      <c r="B957" s="271"/>
      <c r="C957" s="271"/>
      <c r="D957" s="271"/>
      <c r="E957" s="271"/>
      <c r="F957" s="271"/>
      <c r="G957" s="271"/>
      <c r="H957" s="271"/>
      <c r="I957" s="271"/>
      <c r="J957" s="271"/>
      <c r="K957" s="271"/>
      <c r="L957" s="271"/>
      <c r="M957" s="271"/>
    </row>
    <row r="958" spans="1:13" ht="12">
      <c r="A958" s="272" t="s">
        <v>351</v>
      </c>
      <c r="B958" s="272"/>
      <c r="C958" s="272"/>
      <c r="D958" s="272"/>
      <c r="E958" s="272"/>
      <c r="F958" s="272"/>
      <c r="G958" s="272"/>
      <c r="H958" s="272"/>
      <c r="M958" s="207" t="s">
        <v>293</v>
      </c>
    </row>
    <row r="959" spans="1:13" ht="12">
      <c r="A959" s="21" t="s">
        <v>1</v>
      </c>
      <c r="B959" s="21"/>
      <c r="C959" s="216" t="s">
        <v>1</v>
      </c>
      <c r="D959" s="21" t="s">
        <v>1</v>
      </c>
      <c r="E959" s="21" t="s">
        <v>1</v>
      </c>
      <c r="F959" s="21"/>
      <c r="G959" s="21" t="s">
        <v>1</v>
      </c>
      <c r="H959" s="21" t="s">
        <v>1</v>
      </c>
      <c r="I959" s="21" t="s">
        <v>1</v>
      </c>
      <c r="J959" s="21" t="s">
        <v>1</v>
      </c>
      <c r="K959" s="21" t="s">
        <v>1</v>
      </c>
      <c r="L959" s="21"/>
      <c r="M959" s="21" t="s">
        <v>1</v>
      </c>
    </row>
    <row r="960" ht="12">
      <c r="A960" s="7" t="s">
        <v>509</v>
      </c>
    </row>
    <row r="961" ht="12">
      <c r="A961" s="7" t="s">
        <v>510</v>
      </c>
    </row>
    <row r="963" ht="12">
      <c r="A963" s="7" t="s">
        <v>511</v>
      </c>
    </row>
    <row r="964" spans="4:9" ht="12.75" thickBot="1">
      <c r="D964" s="222"/>
      <c r="E964" s="223"/>
      <c r="F964" s="223"/>
      <c r="G964" s="223"/>
      <c r="I964" s="223"/>
    </row>
    <row r="965" spans="3:10" ht="12.75" thickBot="1">
      <c r="C965" s="224" t="s">
        <v>512</v>
      </c>
      <c r="D965" s="225"/>
      <c r="E965" s="226"/>
      <c r="F965" s="227"/>
      <c r="G965" s="228"/>
      <c r="H965" s="229" t="s">
        <v>513</v>
      </c>
      <c r="I965" s="230"/>
      <c r="J965" s="229" t="s">
        <v>514</v>
      </c>
    </row>
    <row r="966" spans="3:10" ht="12">
      <c r="C966" s="231" t="s">
        <v>515</v>
      </c>
      <c r="D966" s="232"/>
      <c r="E966" s="233"/>
      <c r="F966" s="233"/>
      <c r="G966" s="95"/>
      <c r="H966" s="234"/>
      <c r="J966" s="234"/>
    </row>
    <row r="967" spans="3:10" ht="12">
      <c r="C967" s="235" t="s">
        <v>516</v>
      </c>
      <c r="D967" s="236"/>
      <c r="E967" s="233"/>
      <c r="F967" s="233"/>
      <c r="G967" s="95"/>
      <c r="H967" s="237">
        <f>17381/30</f>
        <v>579.3666666666667</v>
      </c>
      <c r="J967" s="237">
        <f>8415/30</f>
        <v>280.5</v>
      </c>
    </row>
    <row r="968" spans="3:10" ht="12">
      <c r="C968" s="235" t="s">
        <v>517</v>
      </c>
      <c r="D968" s="236"/>
      <c r="E968" s="233"/>
      <c r="F968" s="233"/>
      <c r="G968" s="95"/>
      <c r="H968" s="234"/>
      <c r="J968" s="234"/>
    </row>
    <row r="969" spans="3:10" ht="12">
      <c r="C969" s="235" t="s">
        <v>518</v>
      </c>
      <c r="D969" s="236"/>
      <c r="E969" s="233"/>
      <c r="F969" s="233"/>
      <c r="G969" s="95"/>
      <c r="H969" s="234"/>
      <c r="J969" s="234"/>
    </row>
    <row r="970" spans="3:10" ht="12.75" thickBot="1">
      <c r="C970" s="238" t="s">
        <v>519</v>
      </c>
      <c r="D970" s="239"/>
      <c r="E970" s="240"/>
      <c r="F970" s="241"/>
      <c r="G970" s="242"/>
      <c r="H970" s="243"/>
      <c r="I970" s="244"/>
      <c r="J970" s="243"/>
    </row>
    <row r="971" spans="3:10" ht="12.75" thickTop="1">
      <c r="C971" s="235" t="s">
        <v>520</v>
      </c>
      <c r="D971" s="236"/>
      <c r="E971" s="233"/>
      <c r="F971" s="233"/>
      <c r="G971" s="95"/>
      <c r="H971" s="234"/>
      <c r="J971" s="234"/>
    </row>
    <row r="972" spans="3:10" ht="12">
      <c r="C972" s="235" t="s">
        <v>521</v>
      </c>
      <c r="D972" s="236"/>
      <c r="E972" s="233"/>
      <c r="F972" s="233"/>
      <c r="G972" s="95"/>
      <c r="H972" s="234"/>
      <c r="J972" s="234"/>
    </row>
    <row r="973" spans="3:10" ht="12">
      <c r="C973" s="235" t="s">
        <v>522</v>
      </c>
      <c r="D973" s="236"/>
      <c r="E973" s="233"/>
      <c r="F973" s="233"/>
      <c r="G973" s="95"/>
      <c r="H973" s="234"/>
      <c r="J973" s="234"/>
    </row>
    <row r="974" spans="3:10" ht="12.75" thickBot="1">
      <c r="C974" s="238" t="s">
        <v>523</v>
      </c>
      <c r="D974" s="239"/>
      <c r="E974" s="240"/>
      <c r="F974" s="241"/>
      <c r="G974" s="242"/>
      <c r="H974" s="243"/>
      <c r="I974" s="245"/>
      <c r="J974" s="243"/>
    </row>
    <row r="975" spans="3:10" ht="12.75" thickTop="1">
      <c r="C975" s="235" t="s">
        <v>524</v>
      </c>
      <c r="D975" s="236"/>
      <c r="E975" s="233"/>
      <c r="F975" s="233"/>
      <c r="G975" s="95"/>
      <c r="H975" s="234"/>
      <c r="J975" s="234"/>
    </row>
    <row r="976" spans="3:10" ht="12.75" thickBot="1">
      <c r="C976" s="238" t="s">
        <v>525</v>
      </c>
      <c r="D976" s="239"/>
      <c r="E976" s="240"/>
      <c r="F976" s="241"/>
      <c r="G976" s="242"/>
      <c r="H976" s="243"/>
      <c r="I976" s="245"/>
      <c r="J976" s="243"/>
    </row>
    <row r="977" spans="3:10" ht="12.75" thickTop="1">
      <c r="C977" s="235" t="s">
        <v>526</v>
      </c>
      <c r="D977" s="236"/>
      <c r="E977" s="233"/>
      <c r="F977" s="233"/>
      <c r="G977" s="95"/>
      <c r="H977" s="234"/>
      <c r="J977" s="234"/>
    </row>
    <row r="978" spans="3:10" ht="12.75" thickBot="1">
      <c r="C978" s="238" t="s">
        <v>527</v>
      </c>
      <c r="D978" s="239"/>
      <c r="E978" s="240"/>
      <c r="F978" s="241"/>
      <c r="G978" s="242"/>
      <c r="H978" s="243"/>
      <c r="I978" s="245"/>
      <c r="J978" s="243"/>
    </row>
    <row r="979" spans="3:10" ht="12.75" thickTop="1">
      <c r="C979" s="235" t="s">
        <v>528</v>
      </c>
      <c r="D979" s="236"/>
      <c r="E979" s="233"/>
      <c r="F979" s="233"/>
      <c r="G979" s="95"/>
      <c r="H979" s="234"/>
      <c r="J979" s="234"/>
    </row>
    <row r="980" spans="3:10" ht="12.75" thickBot="1">
      <c r="C980" s="238" t="s">
        <v>529</v>
      </c>
      <c r="D980" s="239"/>
      <c r="E980" s="240"/>
      <c r="F980" s="241"/>
      <c r="G980" s="242"/>
      <c r="H980" s="243"/>
      <c r="I980" s="245"/>
      <c r="J980" s="243"/>
    </row>
    <row r="981" spans="3:10" ht="12.75" thickTop="1">
      <c r="C981" s="235" t="s">
        <v>530</v>
      </c>
      <c r="D981" s="236"/>
      <c r="E981" s="233"/>
      <c r="F981" s="233"/>
      <c r="G981" s="95"/>
      <c r="H981" s="234"/>
      <c r="J981" s="234"/>
    </row>
    <row r="982" spans="3:10" ht="12.75" thickBot="1">
      <c r="C982" s="238" t="s">
        <v>531</v>
      </c>
      <c r="D982" s="239"/>
      <c r="E982" s="240"/>
      <c r="F982" s="241"/>
      <c r="G982" s="242"/>
      <c r="H982" s="243"/>
      <c r="I982" s="245"/>
      <c r="J982" s="243"/>
    </row>
    <row r="983" spans="3:10" ht="12.75" thickTop="1">
      <c r="C983" s="235" t="s">
        <v>532</v>
      </c>
      <c r="D983" s="236"/>
      <c r="E983" s="233"/>
      <c r="F983" s="233"/>
      <c r="G983" s="95"/>
      <c r="H983" s="234"/>
      <c r="J983" s="246"/>
    </row>
    <row r="984" spans="3:10" ht="12.75" thickBot="1">
      <c r="C984" s="238" t="s">
        <v>533</v>
      </c>
      <c r="D984" s="239"/>
      <c r="E984" s="240"/>
      <c r="F984" s="241"/>
      <c r="G984" s="242"/>
      <c r="H984" s="243"/>
      <c r="I984" s="245"/>
      <c r="J984" s="243"/>
    </row>
    <row r="985" spans="3:10" ht="12.75" thickTop="1">
      <c r="C985" s="235" t="s">
        <v>534</v>
      </c>
      <c r="D985" s="236"/>
      <c r="E985" s="233"/>
      <c r="F985" s="233"/>
      <c r="G985" s="95"/>
      <c r="H985" s="234"/>
      <c r="J985" s="234"/>
    </row>
    <row r="986" spans="1:13" ht="12.75" thickBot="1">
      <c r="A986" s="90"/>
      <c r="B986" s="90"/>
      <c r="C986" s="238" t="s">
        <v>535</v>
      </c>
      <c r="D986" s="239"/>
      <c r="E986" s="240"/>
      <c r="F986" s="241"/>
      <c r="G986" s="242"/>
      <c r="H986" s="247"/>
      <c r="I986" s="245"/>
      <c r="J986" s="247"/>
      <c r="K986" s="143"/>
      <c r="L986" s="143"/>
      <c r="M986" s="143"/>
    </row>
    <row r="987" spans="3:13" ht="12.75" thickTop="1">
      <c r="C987" s="235" t="s">
        <v>536</v>
      </c>
      <c r="D987" s="236"/>
      <c r="E987" s="233"/>
      <c r="F987" s="233"/>
      <c r="G987" s="159"/>
      <c r="H987" s="234"/>
      <c r="I987" s="143"/>
      <c r="J987" s="246"/>
      <c r="K987" s="143"/>
      <c r="L987" s="143"/>
      <c r="M987" s="143"/>
    </row>
    <row r="988" spans="3:10" ht="12.75" thickBot="1">
      <c r="C988" s="238" t="s">
        <v>537</v>
      </c>
      <c r="D988" s="239"/>
      <c r="E988" s="240"/>
      <c r="F988" s="241"/>
      <c r="G988" s="242"/>
      <c r="H988" s="243"/>
      <c r="I988" s="245"/>
      <c r="J988" s="243"/>
    </row>
    <row r="989" spans="1:10" ht="13.5" thickBot="1" thickTop="1">
      <c r="A989" s="16"/>
      <c r="B989" s="16"/>
      <c r="C989" s="248" t="s">
        <v>538</v>
      </c>
      <c r="D989" s="249"/>
      <c r="E989" s="240"/>
      <c r="F989" s="241"/>
      <c r="G989" s="250"/>
      <c r="H989" s="251"/>
      <c r="I989" s="252"/>
      <c r="J989" s="251"/>
    </row>
    <row r="990" spans="1:13" ht="12">
      <c r="A990" s="16"/>
      <c r="B990" s="16"/>
      <c r="C990" s="253"/>
      <c r="D990" s="233"/>
      <c r="E990" s="233"/>
      <c r="F990" s="233"/>
      <c r="G990" s="95"/>
      <c r="I990" s="5"/>
      <c r="J990" s="59"/>
      <c r="M990" s="146"/>
    </row>
  </sheetData>
  <sheetProtection/>
  <mergeCells count="36">
    <mergeCell ref="I882:J882"/>
    <mergeCell ref="K882:M882"/>
    <mergeCell ref="A879:M879"/>
    <mergeCell ref="A696:M696"/>
    <mergeCell ref="A769:M769"/>
    <mergeCell ref="A807:M807"/>
    <mergeCell ref="A844:M844"/>
    <mergeCell ref="A880:H880"/>
    <mergeCell ref="G882:H882"/>
    <mergeCell ref="A735:M735"/>
    <mergeCell ref="A20:M20"/>
    <mergeCell ref="A438:M438"/>
    <mergeCell ref="A957:M957"/>
    <mergeCell ref="A958:H958"/>
    <mergeCell ref="A918:M918"/>
    <mergeCell ref="A919:H919"/>
    <mergeCell ref="G921:H921"/>
    <mergeCell ref="I921:J921"/>
    <mergeCell ref="K921:M921"/>
    <mergeCell ref="A261:M261"/>
    <mergeCell ref="A36:M36"/>
    <mergeCell ref="A473:M473"/>
    <mergeCell ref="A75:M75"/>
    <mergeCell ref="A327:M327"/>
    <mergeCell ref="A115:M115"/>
    <mergeCell ref="A153:M153"/>
    <mergeCell ref="A188:M188"/>
    <mergeCell ref="A224:M224"/>
    <mergeCell ref="A289:M289"/>
    <mergeCell ref="A403:M403"/>
    <mergeCell ref="A365:M365"/>
    <mergeCell ref="A622:M622"/>
    <mergeCell ref="A659:M659"/>
    <mergeCell ref="A585:M585"/>
    <mergeCell ref="A511:M511"/>
    <mergeCell ref="A548:M548"/>
  </mergeCells>
  <printOptions/>
  <pageMargins left="0.75" right="0.5" top="1" bottom="1" header="0.5" footer="0.24"/>
  <pageSetup fitToHeight="47" horizontalDpi="600" verticalDpi="600" orientation="landscape" scale="70" r:id="rId3"/>
  <rowBreaks count="26" manualBreakCount="26">
    <brk id="34" max="255" man="1"/>
    <brk id="72" max="255" man="1"/>
    <brk id="112" max="255" man="1"/>
    <brk id="150" max="255" man="1"/>
    <brk id="185" max="255" man="1"/>
    <brk id="221" max="255" man="1"/>
    <brk id="258" max="255" man="1"/>
    <brk id="286" max="255" man="1"/>
    <brk id="324" max="255" man="1"/>
    <brk id="362" max="255" man="1"/>
    <brk id="400" max="255" man="1"/>
    <brk id="435" max="255" man="1"/>
    <brk id="470" max="255" man="1"/>
    <brk id="508" max="255" man="1"/>
    <brk id="545" max="255" man="1"/>
    <brk id="582" max="255" man="1"/>
    <brk id="619" max="255" man="1"/>
    <brk id="656" max="255" man="1"/>
    <brk id="693" max="255" man="1"/>
    <brk id="732" max="255" man="1"/>
    <brk id="766" max="255" man="1"/>
    <brk id="804" max="255" man="1"/>
    <brk id="841" max="255" man="1"/>
    <brk id="876" max="255" man="1"/>
    <brk id="915" max="255" man="1"/>
    <brk id="95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S1000"/>
  <sheetViews>
    <sheetView showGridLines="0" zoomScale="75" zoomScaleNormal="75" zoomScaleSheetLayoutView="65" workbookViewId="0" topLeftCell="A781">
      <selection activeCell="G949" sqref="G949:G950"/>
    </sheetView>
  </sheetViews>
  <sheetFormatPr defaultColWidth="9.625" defaultRowHeight="12.75"/>
  <cols>
    <col min="1" max="1" width="7.625" style="7" customWidth="1"/>
    <col min="2" max="2" width="1.875" style="7" customWidth="1"/>
    <col min="3" max="3" width="33.00390625" style="7" customWidth="1"/>
    <col min="4" max="4" width="24.125" style="7" customWidth="1"/>
    <col min="5" max="6" width="8.125" style="7" customWidth="1"/>
    <col min="7" max="7" width="10.625" style="7" customWidth="1"/>
    <col min="8" max="8" width="13.625" style="7" customWidth="1"/>
    <col min="9" max="9" width="10.625" style="8" customWidth="1"/>
    <col min="10" max="10" width="13.75390625" style="9" customWidth="1"/>
    <col min="11" max="11" width="8.875" style="7" customWidth="1"/>
    <col min="12" max="12" width="8.75390625" style="8" customWidth="1"/>
    <col min="13" max="13" width="13.625" style="9" customWidth="1"/>
    <col min="14" max="16384" width="9.625" style="7" customWidth="1"/>
  </cols>
  <sheetData>
    <row r="2" ht="12">
      <c r="M2" s="10" t="s">
        <v>147</v>
      </c>
    </row>
    <row r="3" ht="12">
      <c r="M3" s="195" t="s">
        <v>255</v>
      </c>
    </row>
    <row r="5" spans="1:13" ht="45">
      <c r="A5" s="263" t="s">
        <v>146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8" spans="1:13" s="45" customFormat="1" ht="33">
      <c r="A8" s="264" t="s">
        <v>256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3" s="45" customFormat="1" ht="33">
      <c r="A9" s="264" t="s">
        <v>257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20" spans="1:13" ht="45">
      <c r="A20" s="265" t="s">
        <v>540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</row>
    <row r="33" spans="1:13" ht="12.75">
      <c r="A33" s="266" t="s">
        <v>258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</row>
    <row r="35" spans="1:13" ht="12">
      <c r="A35" s="11"/>
      <c r="C35" s="12"/>
      <c r="E35" s="11"/>
      <c r="F35" s="13"/>
      <c r="G35" s="13"/>
      <c r="H35" s="13"/>
      <c r="I35" s="14"/>
      <c r="J35" s="15"/>
      <c r="K35" s="13"/>
      <c r="L35" s="14"/>
      <c r="M35" s="15"/>
    </row>
    <row r="36" spans="1:13" ht="12">
      <c r="A36" s="19" t="s">
        <v>541</v>
      </c>
      <c r="I36" s="17"/>
      <c r="M36" s="18" t="s">
        <v>18</v>
      </c>
    </row>
    <row r="37" spans="1:13" s="46" customFormat="1" ht="12">
      <c r="A37" s="261" t="s">
        <v>19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</row>
    <row r="38" spans="1:13" ht="12">
      <c r="A38" s="19" t="s">
        <v>664</v>
      </c>
      <c r="C38" s="7" t="s">
        <v>540</v>
      </c>
      <c r="I38" s="17"/>
      <c r="K38" s="5"/>
      <c r="L38" s="17"/>
      <c r="M38" s="20" t="str">
        <f>$M$3</f>
        <v>Date: 10/1/2008</v>
      </c>
    </row>
    <row r="39" spans="1:13" ht="12">
      <c r="A39" s="21" t="s">
        <v>1</v>
      </c>
      <c r="B39" s="21" t="s">
        <v>1</v>
      </c>
      <c r="C39" s="21" t="s">
        <v>1</v>
      </c>
      <c r="D39" s="21" t="s">
        <v>1</v>
      </c>
      <c r="E39" s="21" t="s">
        <v>1</v>
      </c>
      <c r="F39" s="21" t="s">
        <v>1</v>
      </c>
      <c r="G39" s="21"/>
      <c r="H39" s="21"/>
      <c r="I39" s="22" t="s">
        <v>1</v>
      </c>
      <c r="J39" s="23" t="s">
        <v>1</v>
      </c>
      <c r="K39" s="21" t="s">
        <v>1</v>
      </c>
      <c r="L39" s="22" t="s">
        <v>1</v>
      </c>
      <c r="M39" s="23" t="s">
        <v>1</v>
      </c>
    </row>
    <row r="40" spans="1:13" ht="12">
      <c r="A40" s="24" t="s">
        <v>2</v>
      </c>
      <c r="C40" s="12" t="s">
        <v>3</v>
      </c>
      <c r="E40" s="24" t="s">
        <v>2</v>
      </c>
      <c r="F40" s="25"/>
      <c r="G40" s="25"/>
      <c r="H40" s="25" t="s">
        <v>249</v>
      </c>
      <c r="I40" s="26"/>
      <c r="J40" s="27" t="s">
        <v>251</v>
      </c>
      <c r="K40" s="25"/>
      <c r="L40" s="26"/>
      <c r="M40" s="27" t="s">
        <v>260</v>
      </c>
    </row>
    <row r="41" spans="1:13" ht="12">
      <c r="A41" s="24" t="s">
        <v>4</v>
      </c>
      <c r="C41" s="28" t="s">
        <v>5</v>
      </c>
      <c r="E41" s="24" t="s">
        <v>4</v>
      </c>
      <c r="F41" s="25"/>
      <c r="G41" s="25" t="s">
        <v>21</v>
      </c>
      <c r="H41" s="25" t="s">
        <v>7</v>
      </c>
      <c r="I41" s="26" t="s">
        <v>6</v>
      </c>
      <c r="J41" s="27" t="s">
        <v>7</v>
      </c>
      <c r="K41" s="25"/>
      <c r="L41" s="26" t="s">
        <v>6</v>
      </c>
      <c r="M41" s="27" t="s">
        <v>8</v>
      </c>
    </row>
    <row r="42" spans="1:13" ht="12">
      <c r="A42" s="21" t="s">
        <v>1</v>
      </c>
      <c r="B42" s="21" t="s">
        <v>1</v>
      </c>
      <c r="C42" s="21" t="s">
        <v>1</v>
      </c>
      <c r="D42" s="21" t="s">
        <v>1</v>
      </c>
      <c r="E42" s="21" t="s">
        <v>1</v>
      </c>
      <c r="F42" s="21" t="s">
        <v>1</v>
      </c>
      <c r="G42" s="21"/>
      <c r="H42" s="21"/>
      <c r="I42" s="22" t="s">
        <v>1</v>
      </c>
      <c r="J42" s="22" t="s">
        <v>1</v>
      </c>
      <c r="K42" s="21" t="s">
        <v>1</v>
      </c>
      <c r="L42" s="22" t="s">
        <v>1</v>
      </c>
      <c r="M42" s="23" t="s">
        <v>1</v>
      </c>
    </row>
    <row r="43" spans="1:13" ht="12">
      <c r="A43" s="11">
        <v>1</v>
      </c>
      <c r="C43" s="12" t="s">
        <v>9</v>
      </c>
      <c r="D43" s="29" t="s">
        <v>106</v>
      </c>
      <c r="E43" s="11">
        <v>1</v>
      </c>
      <c r="G43" s="47">
        <f>+G508</f>
        <v>422.63</v>
      </c>
      <c r="H43" s="48">
        <f>+H508</f>
        <v>30135857</v>
      </c>
      <c r="I43" s="47">
        <f>+I508</f>
        <v>463.19</v>
      </c>
      <c r="J43" s="48">
        <f>+J508</f>
        <v>34558775</v>
      </c>
      <c r="K43" s="30"/>
      <c r="L43" s="47">
        <f>+L508</f>
        <v>468.9</v>
      </c>
      <c r="M43" s="48">
        <f>+M508</f>
        <v>37082270</v>
      </c>
    </row>
    <row r="44" spans="1:13" ht="12">
      <c r="A44" s="11">
        <v>2</v>
      </c>
      <c r="C44" s="12" t="s">
        <v>10</v>
      </c>
      <c r="D44" s="29" t="s">
        <v>107</v>
      </c>
      <c r="E44" s="11">
        <v>2</v>
      </c>
      <c r="G44" s="47">
        <f>+G545</f>
        <v>1.4000000000000001</v>
      </c>
      <c r="H44" s="48">
        <f>+H545</f>
        <v>246724</v>
      </c>
      <c r="I44" s="47">
        <f>+I545</f>
        <v>1.4100000000000001</v>
      </c>
      <c r="J44" s="48">
        <f>+J545</f>
        <v>542565</v>
      </c>
      <c r="K44" s="30"/>
      <c r="L44" s="47">
        <f>+L545</f>
        <v>1.75</v>
      </c>
      <c r="M44" s="48">
        <f>+M545</f>
        <v>184423</v>
      </c>
    </row>
    <row r="45" spans="1:13" ht="12">
      <c r="A45" s="11">
        <v>3</v>
      </c>
      <c r="C45" s="12" t="s">
        <v>11</v>
      </c>
      <c r="D45" s="29" t="s">
        <v>108</v>
      </c>
      <c r="E45" s="11">
        <v>3</v>
      </c>
      <c r="G45" s="47">
        <f>+G582</f>
        <v>0</v>
      </c>
      <c r="H45" s="48">
        <f>+H582</f>
        <v>55653</v>
      </c>
      <c r="I45" s="47">
        <f>+I582</f>
        <v>0</v>
      </c>
      <c r="J45" s="48">
        <f>+J582</f>
        <v>5054</v>
      </c>
      <c r="K45" s="30"/>
      <c r="L45" s="47">
        <f>+L582</f>
        <v>0</v>
      </c>
      <c r="M45" s="48">
        <f>+M582</f>
        <v>800</v>
      </c>
    </row>
    <row r="46" spans="1:13" ht="12">
      <c r="A46" s="11">
        <v>4</v>
      </c>
      <c r="C46" s="12" t="s">
        <v>12</v>
      </c>
      <c r="D46" s="29" t="s">
        <v>109</v>
      </c>
      <c r="E46" s="11">
        <v>4</v>
      </c>
      <c r="G46" s="47">
        <f>+G619</f>
        <v>64.3</v>
      </c>
      <c r="H46" s="48">
        <f>+H619</f>
        <v>6801941</v>
      </c>
      <c r="I46" s="47">
        <f>+I619</f>
        <v>69.55000000000001</v>
      </c>
      <c r="J46" s="48">
        <f>+J619</f>
        <v>6960438</v>
      </c>
      <c r="K46" s="30"/>
      <c r="L46" s="47">
        <f>+L619</f>
        <v>76.46000000000001</v>
      </c>
      <c r="M46" s="48">
        <f>+M619</f>
        <v>9546385</v>
      </c>
    </row>
    <row r="47" spans="1:13" ht="12">
      <c r="A47" s="11">
        <v>5</v>
      </c>
      <c r="C47" s="12" t="s">
        <v>13</v>
      </c>
      <c r="D47" s="29" t="s">
        <v>110</v>
      </c>
      <c r="E47" s="11">
        <v>5</v>
      </c>
      <c r="G47" s="47">
        <f>+G656</f>
        <v>62.5</v>
      </c>
      <c r="H47" s="48">
        <f>+H656</f>
        <v>4422015</v>
      </c>
      <c r="I47" s="47">
        <f>+I656</f>
        <v>64.09</v>
      </c>
      <c r="J47" s="48">
        <f>+J656</f>
        <v>4994580</v>
      </c>
      <c r="K47" s="30"/>
      <c r="L47" s="47">
        <f>+L656</f>
        <v>66</v>
      </c>
      <c r="M47" s="48">
        <f>+M656</f>
        <v>6225911</v>
      </c>
    </row>
    <row r="48" spans="1:13" ht="12">
      <c r="A48" s="11">
        <v>6</v>
      </c>
      <c r="C48" s="12" t="s">
        <v>14</v>
      </c>
      <c r="D48" s="29" t="s">
        <v>111</v>
      </c>
      <c r="E48" s="11">
        <v>6</v>
      </c>
      <c r="G48" s="47">
        <f>+G692</f>
        <v>70.9</v>
      </c>
      <c r="H48" s="48">
        <f>+H692</f>
        <v>7650938</v>
      </c>
      <c r="I48" s="47">
        <f>+I692</f>
        <v>62.53</v>
      </c>
      <c r="J48" s="48">
        <f>+J692</f>
        <v>9484322</v>
      </c>
      <c r="K48" s="30"/>
      <c r="L48" s="47">
        <f>+L692</f>
        <v>90.03999999999999</v>
      </c>
      <c r="M48" s="48">
        <f>+M692</f>
        <v>10522372</v>
      </c>
    </row>
    <row r="49" spans="1:13" ht="12">
      <c r="A49" s="11">
        <v>7</v>
      </c>
      <c r="C49" s="12" t="s">
        <v>59</v>
      </c>
      <c r="D49" s="29" t="s">
        <v>112</v>
      </c>
      <c r="E49" s="11">
        <v>7</v>
      </c>
      <c r="G49" s="47">
        <f>+G721</f>
        <v>57.15</v>
      </c>
      <c r="H49" s="48">
        <f>+H721</f>
        <v>4740229</v>
      </c>
      <c r="I49" s="47">
        <f>+I721</f>
        <v>56.5</v>
      </c>
      <c r="J49" s="48">
        <f>+J721</f>
        <v>5252136</v>
      </c>
      <c r="K49" s="30"/>
      <c r="L49" s="47">
        <f>+L721</f>
        <v>58.5</v>
      </c>
      <c r="M49" s="48">
        <f>+M721</f>
        <v>5991939</v>
      </c>
    </row>
    <row r="50" spans="1:13" ht="12">
      <c r="A50" s="11">
        <v>8</v>
      </c>
      <c r="C50" s="12" t="s">
        <v>15</v>
      </c>
      <c r="D50" s="29" t="s">
        <v>113</v>
      </c>
      <c r="E50" s="11">
        <v>8</v>
      </c>
      <c r="G50" s="47">
        <v>0</v>
      </c>
      <c r="H50" s="48">
        <f>+H778</f>
        <v>3151024</v>
      </c>
      <c r="I50" s="47">
        <v>0</v>
      </c>
      <c r="J50" s="48">
        <f>+J778</f>
        <v>3584483</v>
      </c>
      <c r="K50" s="30"/>
      <c r="L50" s="47">
        <v>0</v>
      </c>
      <c r="M50" s="48">
        <f>+M778</f>
        <v>3554763</v>
      </c>
    </row>
    <row r="51" spans="1:13" ht="12">
      <c r="A51" s="11">
        <v>9</v>
      </c>
      <c r="C51" s="12" t="s">
        <v>90</v>
      </c>
      <c r="D51" s="29" t="s">
        <v>114</v>
      </c>
      <c r="E51" s="11">
        <v>9</v>
      </c>
      <c r="G51" s="47">
        <v>0</v>
      </c>
      <c r="H51" s="48">
        <v>0</v>
      </c>
      <c r="I51" s="47">
        <v>0</v>
      </c>
      <c r="J51" s="48">
        <v>0</v>
      </c>
      <c r="K51" s="30"/>
      <c r="L51" s="47">
        <v>0</v>
      </c>
      <c r="M51" s="48">
        <v>0</v>
      </c>
    </row>
    <row r="52" spans="1:13" ht="12">
      <c r="A52" s="11">
        <v>10</v>
      </c>
      <c r="C52" s="12" t="s">
        <v>16</v>
      </c>
      <c r="D52" s="29" t="s">
        <v>89</v>
      </c>
      <c r="E52" s="11">
        <v>10</v>
      </c>
      <c r="G52" s="47">
        <v>0</v>
      </c>
      <c r="H52" s="48">
        <f>+H852</f>
        <v>2931483</v>
      </c>
      <c r="I52" s="47">
        <v>0</v>
      </c>
      <c r="J52" s="48">
        <f>+J852</f>
        <v>295952</v>
      </c>
      <c r="K52" s="30"/>
      <c r="L52" s="47">
        <v>0</v>
      </c>
      <c r="M52" s="48">
        <f>+M852</f>
        <v>1938012</v>
      </c>
    </row>
    <row r="53" spans="1:13" ht="12">
      <c r="A53" s="11"/>
      <c r="C53" s="12"/>
      <c r="D53" s="29"/>
      <c r="E53" s="11"/>
      <c r="F53" s="21" t="s">
        <v>1</v>
      </c>
      <c r="G53" s="21"/>
      <c r="H53" s="49"/>
      <c r="I53" s="22" t="s">
        <v>1</v>
      </c>
      <c r="J53" s="49"/>
      <c r="K53" s="32"/>
      <c r="L53" s="22"/>
      <c r="M53" s="49"/>
    </row>
    <row r="54" spans="1:13" ht="12">
      <c r="A54" s="7">
        <v>11</v>
      </c>
      <c r="C54" s="12" t="s">
        <v>232</v>
      </c>
      <c r="E54" s="7">
        <v>11</v>
      </c>
      <c r="G54" s="47">
        <f>SUM(G43:G52)</f>
        <v>678.8799999999999</v>
      </c>
      <c r="H54" s="48">
        <f>SUM(H43:H52)</f>
        <v>60135864</v>
      </c>
      <c r="I54" s="47">
        <f>SUM(I43:I52)</f>
        <v>717.2700000000001</v>
      </c>
      <c r="J54" s="48">
        <f>SUM(J43:J52)</f>
        <v>65678305</v>
      </c>
      <c r="K54" s="30"/>
      <c r="L54" s="47">
        <f>SUM(L43:L52)</f>
        <v>761.65</v>
      </c>
      <c r="M54" s="48">
        <f>SUM(M43:M52)</f>
        <v>75046875</v>
      </c>
    </row>
    <row r="55" spans="1:13" ht="12">
      <c r="A55" s="11"/>
      <c r="E55" s="11"/>
      <c r="F55" s="21" t="s">
        <v>1</v>
      </c>
      <c r="G55" s="21"/>
      <c r="H55" s="21"/>
      <c r="I55" s="22" t="s">
        <v>1</v>
      </c>
      <c r="J55" s="23"/>
      <c r="K55" s="32"/>
      <c r="L55" s="22"/>
      <c r="M55" s="23"/>
    </row>
    <row r="56" spans="1:13" ht="12">
      <c r="A56" s="11"/>
      <c r="E56" s="11"/>
      <c r="F56" s="21"/>
      <c r="G56" s="21"/>
      <c r="H56" s="21"/>
      <c r="I56" s="17"/>
      <c r="J56" s="23"/>
      <c r="K56" s="32"/>
      <c r="L56" s="17"/>
      <c r="M56" s="23"/>
    </row>
    <row r="57" spans="1:13" ht="12">
      <c r="A57" s="7">
        <v>12</v>
      </c>
      <c r="C57" s="12" t="s">
        <v>17</v>
      </c>
      <c r="E57" s="7">
        <v>12</v>
      </c>
      <c r="G57" s="30"/>
      <c r="H57" s="30"/>
      <c r="I57" s="31"/>
      <c r="J57" s="31"/>
      <c r="K57" s="30"/>
      <c r="L57" s="47"/>
      <c r="M57" s="31"/>
    </row>
    <row r="58" spans="1:13" ht="12">
      <c r="A58" s="11">
        <v>13</v>
      </c>
      <c r="C58" s="12" t="s">
        <v>205</v>
      </c>
      <c r="D58" s="29" t="s">
        <v>228</v>
      </c>
      <c r="E58" s="11">
        <v>13</v>
      </c>
      <c r="G58" s="47">
        <v>0</v>
      </c>
      <c r="H58" s="48">
        <v>0</v>
      </c>
      <c r="I58" s="47">
        <v>0</v>
      </c>
      <c r="J58" s="48">
        <v>0</v>
      </c>
      <c r="K58" s="30"/>
      <c r="L58" s="47">
        <v>0</v>
      </c>
      <c r="M58" s="48">
        <v>0</v>
      </c>
    </row>
    <row r="59" spans="1:13" ht="12">
      <c r="A59" s="11">
        <v>14</v>
      </c>
      <c r="C59" s="12" t="s">
        <v>206</v>
      </c>
      <c r="D59" s="29" t="s">
        <v>229</v>
      </c>
      <c r="E59" s="11">
        <v>14</v>
      </c>
      <c r="G59" s="47">
        <v>0</v>
      </c>
      <c r="H59" s="48">
        <f>H443</f>
        <v>5500380</v>
      </c>
      <c r="I59" s="47">
        <v>0</v>
      </c>
      <c r="J59" s="48">
        <f>J443</f>
        <v>8268512</v>
      </c>
      <c r="K59" s="30"/>
      <c r="L59" s="47">
        <v>0</v>
      </c>
      <c r="M59" s="48">
        <f>M443</f>
        <v>9218024</v>
      </c>
    </row>
    <row r="60" spans="1:13" ht="12">
      <c r="A60" s="11">
        <v>15</v>
      </c>
      <c r="C60" s="12" t="s">
        <v>225</v>
      </c>
      <c r="D60" s="29"/>
      <c r="E60" s="11">
        <v>15</v>
      </c>
      <c r="G60" s="47">
        <v>0</v>
      </c>
      <c r="H60" s="48">
        <v>12803882</v>
      </c>
      <c r="I60" s="47">
        <v>0</v>
      </c>
      <c r="J60" s="48">
        <v>13461324</v>
      </c>
      <c r="K60" s="30"/>
      <c r="L60" s="47">
        <v>0</v>
      </c>
      <c r="M60" s="48">
        <v>13723576</v>
      </c>
    </row>
    <row r="61" spans="1:13" ht="12">
      <c r="A61" s="11">
        <v>16</v>
      </c>
      <c r="C61" s="12" t="s">
        <v>224</v>
      </c>
      <c r="D61" s="29"/>
      <c r="E61" s="11">
        <v>16</v>
      </c>
      <c r="G61" s="47">
        <f>+G294-G60</f>
        <v>5152.6</v>
      </c>
      <c r="H61" s="48">
        <f>+H294-H60</f>
        <v>25173855</v>
      </c>
      <c r="I61" s="47">
        <f>+I294-I60</f>
        <v>5185</v>
      </c>
      <c r="J61" s="48">
        <f>+J294-J60</f>
        <v>28063735</v>
      </c>
      <c r="K61" s="30"/>
      <c r="L61" s="47">
        <f>+L294-L60</f>
        <v>5436.3</v>
      </c>
      <c r="M61" s="48">
        <f>+M294-M60</f>
        <v>31394876</v>
      </c>
    </row>
    <row r="62" spans="1:253" ht="12">
      <c r="A62" s="29">
        <v>17</v>
      </c>
      <c r="B62" s="29"/>
      <c r="C62" s="33" t="s">
        <v>226</v>
      </c>
      <c r="D62" s="29" t="s">
        <v>246</v>
      </c>
      <c r="E62" s="29">
        <v>17</v>
      </c>
      <c r="F62" s="29"/>
      <c r="G62" s="47">
        <f>G301</f>
        <v>5430</v>
      </c>
      <c r="H62" s="48">
        <f>SUM(H60:H61)</f>
        <v>37977737</v>
      </c>
      <c r="I62" s="47">
        <f>I301</f>
        <v>5575</v>
      </c>
      <c r="J62" s="48">
        <f>SUM(J60:J61)</f>
        <v>41525059</v>
      </c>
      <c r="K62" s="33"/>
      <c r="L62" s="47">
        <f>L301</f>
        <v>5790</v>
      </c>
      <c r="M62" s="48">
        <f>SUM(M60:M61)</f>
        <v>45118452</v>
      </c>
      <c r="N62" s="33"/>
      <c r="O62" s="29"/>
      <c r="P62" s="33"/>
      <c r="Q62" s="29"/>
      <c r="R62" s="33"/>
      <c r="S62" s="29"/>
      <c r="T62" s="33"/>
      <c r="U62" s="29"/>
      <c r="V62" s="33"/>
      <c r="W62" s="29"/>
      <c r="X62" s="33"/>
      <c r="Y62" s="29"/>
      <c r="Z62" s="33"/>
      <c r="AA62" s="29"/>
      <c r="AB62" s="33"/>
      <c r="AC62" s="29"/>
      <c r="AD62" s="33"/>
      <c r="AE62" s="29"/>
      <c r="AF62" s="33"/>
      <c r="AG62" s="29"/>
      <c r="AH62" s="33"/>
      <c r="AI62" s="29"/>
      <c r="AJ62" s="33"/>
      <c r="AK62" s="29"/>
      <c r="AL62" s="33"/>
      <c r="AM62" s="29"/>
      <c r="AN62" s="33"/>
      <c r="AO62" s="29"/>
      <c r="AP62" s="33"/>
      <c r="AQ62" s="29"/>
      <c r="AR62" s="33"/>
      <c r="AS62" s="29"/>
      <c r="AT62" s="33"/>
      <c r="AU62" s="29"/>
      <c r="AV62" s="33"/>
      <c r="AW62" s="29"/>
      <c r="AX62" s="33"/>
      <c r="AY62" s="29"/>
      <c r="AZ62" s="33"/>
      <c r="BA62" s="29"/>
      <c r="BB62" s="33"/>
      <c r="BC62" s="29"/>
      <c r="BD62" s="33"/>
      <c r="BE62" s="29"/>
      <c r="BF62" s="33"/>
      <c r="BG62" s="29"/>
      <c r="BH62" s="33"/>
      <c r="BI62" s="29"/>
      <c r="BJ62" s="33"/>
      <c r="BK62" s="29"/>
      <c r="BL62" s="33"/>
      <c r="BM62" s="29"/>
      <c r="BN62" s="33"/>
      <c r="BO62" s="29"/>
      <c r="BP62" s="33"/>
      <c r="BQ62" s="29"/>
      <c r="BR62" s="33"/>
      <c r="BS62" s="29"/>
      <c r="BT62" s="33"/>
      <c r="BU62" s="29"/>
      <c r="BV62" s="33"/>
      <c r="BW62" s="29"/>
      <c r="BX62" s="33"/>
      <c r="BY62" s="29"/>
      <c r="BZ62" s="33"/>
      <c r="CA62" s="29"/>
      <c r="CB62" s="33"/>
      <c r="CC62" s="29"/>
      <c r="CD62" s="33"/>
      <c r="CE62" s="29"/>
      <c r="CF62" s="33"/>
      <c r="CG62" s="29"/>
      <c r="CH62" s="33"/>
      <c r="CI62" s="29"/>
      <c r="CJ62" s="33"/>
      <c r="CK62" s="29"/>
      <c r="CL62" s="33"/>
      <c r="CM62" s="29"/>
      <c r="CN62" s="33"/>
      <c r="CO62" s="29"/>
      <c r="CP62" s="33"/>
      <c r="CQ62" s="29"/>
      <c r="CR62" s="33"/>
      <c r="CS62" s="29"/>
      <c r="CT62" s="33"/>
      <c r="CU62" s="29"/>
      <c r="CV62" s="33"/>
      <c r="CW62" s="29"/>
      <c r="CX62" s="33"/>
      <c r="CY62" s="29"/>
      <c r="CZ62" s="33"/>
      <c r="DA62" s="29"/>
      <c r="DB62" s="33"/>
      <c r="DC62" s="29"/>
      <c r="DD62" s="33"/>
      <c r="DE62" s="29"/>
      <c r="DF62" s="33"/>
      <c r="DG62" s="29"/>
      <c r="DH62" s="33"/>
      <c r="DI62" s="29"/>
      <c r="DJ62" s="33"/>
      <c r="DK62" s="29"/>
      <c r="DL62" s="33"/>
      <c r="DM62" s="29"/>
      <c r="DN62" s="33"/>
      <c r="DO62" s="29"/>
      <c r="DP62" s="33"/>
      <c r="DQ62" s="29"/>
      <c r="DR62" s="33"/>
      <c r="DS62" s="29"/>
      <c r="DT62" s="33"/>
      <c r="DU62" s="29"/>
      <c r="DV62" s="33"/>
      <c r="DW62" s="29"/>
      <c r="DX62" s="33"/>
      <c r="DY62" s="29"/>
      <c r="DZ62" s="33"/>
      <c r="EA62" s="29"/>
      <c r="EB62" s="33"/>
      <c r="EC62" s="29"/>
      <c r="ED62" s="33"/>
      <c r="EE62" s="29"/>
      <c r="EF62" s="33"/>
      <c r="EG62" s="29"/>
      <c r="EH62" s="33"/>
      <c r="EI62" s="29"/>
      <c r="EJ62" s="33"/>
      <c r="EK62" s="29"/>
      <c r="EL62" s="33"/>
      <c r="EM62" s="29"/>
      <c r="EN62" s="33"/>
      <c r="EO62" s="29"/>
      <c r="EP62" s="33"/>
      <c r="EQ62" s="29"/>
      <c r="ER62" s="33"/>
      <c r="ES62" s="29"/>
      <c r="ET62" s="33"/>
      <c r="EU62" s="29"/>
      <c r="EV62" s="33"/>
      <c r="EW62" s="29"/>
      <c r="EX62" s="33"/>
      <c r="EY62" s="29"/>
      <c r="EZ62" s="33"/>
      <c r="FA62" s="29"/>
      <c r="FB62" s="33"/>
      <c r="FC62" s="29"/>
      <c r="FD62" s="33"/>
      <c r="FE62" s="29"/>
      <c r="FF62" s="33"/>
      <c r="FG62" s="29"/>
      <c r="FH62" s="33"/>
      <c r="FI62" s="29"/>
      <c r="FJ62" s="33"/>
      <c r="FK62" s="29"/>
      <c r="FL62" s="33"/>
      <c r="FM62" s="29"/>
      <c r="FN62" s="33"/>
      <c r="FO62" s="29"/>
      <c r="FP62" s="33"/>
      <c r="FQ62" s="29"/>
      <c r="FR62" s="33"/>
      <c r="FS62" s="29"/>
      <c r="FT62" s="33"/>
      <c r="FU62" s="29"/>
      <c r="FV62" s="33"/>
      <c r="FW62" s="29"/>
      <c r="FX62" s="33"/>
      <c r="FY62" s="29"/>
      <c r="FZ62" s="33"/>
      <c r="GA62" s="29"/>
      <c r="GB62" s="33"/>
      <c r="GC62" s="29"/>
      <c r="GD62" s="33"/>
      <c r="GE62" s="29"/>
      <c r="GF62" s="33"/>
      <c r="GG62" s="29"/>
      <c r="GH62" s="33"/>
      <c r="GI62" s="29"/>
      <c r="GJ62" s="33"/>
      <c r="GK62" s="29"/>
      <c r="GL62" s="33"/>
      <c r="GM62" s="29"/>
      <c r="GN62" s="33"/>
      <c r="GO62" s="29"/>
      <c r="GP62" s="33"/>
      <c r="GQ62" s="29"/>
      <c r="GR62" s="33"/>
      <c r="GS62" s="29"/>
      <c r="GT62" s="33"/>
      <c r="GU62" s="29"/>
      <c r="GV62" s="33"/>
      <c r="GW62" s="29"/>
      <c r="GX62" s="33"/>
      <c r="GY62" s="29"/>
      <c r="GZ62" s="33"/>
      <c r="HA62" s="29"/>
      <c r="HB62" s="33"/>
      <c r="HC62" s="29"/>
      <c r="HD62" s="33"/>
      <c r="HE62" s="29"/>
      <c r="HF62" s="33"/>
      <c r="HG62" s="29"/>
      <c r="HH62" s="33"/>
      <c r="HI62" s="29"/>
      <c r="HJ62" s="33"/>
      <c r="HK62" s="29"/>
      <c r="HL62" s="33"/>
      <c r="HM62" s="29"/>
      <c r="HN62" s="33"/>
      <c r="HO62" s="29"/>
      <c r="HP62" s="33"/>
      <c r="HQ62" s="29"/>
      <c r="HR62" s="33"/>
      <c r="HS62" s="29"/>
      <c r="HT62" s="33"/>
      <c r="HU62" s="29"/>
      <c r="HV62" s="33"/>
      <c r="HW62" s="29"/>
      <c r="HX62" s="33"/>
      <c r="HY62" s="29"/>
      <c r="HZ62" s="33"/>
      <c r="IA62" s="29"/>
      <c r="IB62" s="33"/>
      <c r="IC62" s="29"/>
      <c r="ID62" s="33"/>
      <c r="IE62" s="29"/>
      <c r="IF62" s="33"/>
      <c r="IG62" s="29"/>
      <c r="IH62" s="33"/>
      <c r="II62" s="29"/>
      <c r="IJ62" s="33"/>
      <c r="IK62" s="29"/>
      <c r="IL62" s="33"/>
      <c r="IM62" s="29"/>
      <c r="IN62" s="33"/>
      <c r="IO62" s="29"/>
      <c r="IP62" s="33"/>
      <c r="IQ62" s="29"/>
      <c r="IR62" s="33"/>
      <c r="IS62" s="29"/>
    </row>
    <row r="63" spans="1:13" ht="12">
      <c r="A63" s="11">
        <v>18</v>
      </c>
      <c r="C63" s="12" t="s">
        <v>227</v>
      </c>
      <c r="D63" s="29" t="s">
        <v>246</v>
      </c>
      <c r="E63" s="11">
        <v>18</v>
      </c>
      <c r="G63" s="47">
        <f>+G293</f>
        <v>662.4</v>
      </c>
      <c r="H63" s="48">
        <f>+H293</f>
        <v>6309449</v>
      </c>
      <c r="I63" s="47">
        <f>+I293</f>
        <v>650</v>
      </c>
      <c r="J63" s="48">
        <f>+J293</f>
        <v>6528010</v>
      </c>
      <c r="K63" s="30"/>
      <c r="L63" s="47">
        <f>+L293</f>
        <v>668.5</v>
      </c>
      <c r="M63" s="48">
        <f>+M293</f>
        <v>7352341</v>
      </c>
    </row>
    <row r="64" spans="1:13" ht="12">
      <c r="A64" s="11">
        <v>19</v>
      </c>
      <c r="C64" s="12" t="s">
        <v>183</v>
      </c>
      <c r="D64" s="29" t="s">
        <v>246</v>
      </c>
      <c r="E64" s="11">
        <v>19</v>
      </c>
      <c r="G64" s="47">
        <f>+G299</f>
        <v>324.7</v>
      </c>
      <c r="H64" s="48">
        <f>+H299</f>
        <v>7114180</v>
      </c>
      <c r="I64" s="47">
        <f>+I299</f>
        <v>444</v>
      </c>
      <c r="J64" s="48">
        <f>+J299</f>
        <v>7474785</v>
      </c>
      <c r="K64" s="30"/>
      <c r="L64" s="47">
        <f>+L299</f>
        <v>417.2</v>
      </c>
      <c r="M64" s="48">
        <f>+M299</f>
        <v>7944503</v>
      </c>
    </row>
    <row r="65" spans="1:13" ht="12">
      <c r="A65" s="11">
        <v>20</v>
      </c>
      <c r="C65" s="12" t="s">
        <v>160</v>
      </c>
      <c r="D65" s="29" t="s">
        <v>246</v>
      </c>
      <c r="E65" s="11">
        <v>20</v>
      </c>
      <c r="G65" s="47">
        <f>G62+G63+G64</f>
        <v>6417.099999999999</v>
      </c>
      <c r="H65" s="48">
        <f>H62+H63+H64</f>
        <v>51401366</v>
      </c>
      <c r="I65" s="47">
        <f>I62+I63+I64</f>
        <v>6669</v>
      </c>
      <c r="J65" s="48">
        <f>J62+J63+J64</f>
        <v>55527854</v>
      </c>
      <c r="K65" s="30"/>
      <c r="L65" s="47">
        <f>L62+L63+L64</f>
        <v>6875.7</v>
      </c>
      <c r="M65" s="48">
        <f>M62+M63+M64</f>
        <v>60415296</v>
      </c>
    </row>
    <row r="66" spans="1:13" ht="12">
      <c r="A66" s="11">
        <v>21</v>
      </c>
      <c r="C66" s="12" t="s">
        <v>220</v>
      </c>
      <c r="D66" s="29" t="s">
        <v>245</v>
      </c>
      <c r="E66" s="11">
        <v>21</v>
      </c>
      <c r="G66" s="47">
        <v>0</v>
      </c>
      <c r="H66" s="48">
        <f>+H325</f>
        <v>-345664</v>
      </c>
      <c r="I66" s="47">
        <v>0</v>
      </c>
      <c r="J66" s="48">
        <f>+J325</f>
        <v>-3190998</v>
      </c>
      <c r="K66" s="30"/>
      <c r="L66" s="47">
        <v>0</v>
      </c>
      <c r="M66" s="48">
        <f>+M325</f>
        <v>2134392</v>
      </c>
    </row>
    <row r="67" spans="1:13" ht="12">
      <c r="A67" s="11">
        <v>22</v>
      </c>
      <c r="C67" s="34"/>
      <c r="E67" s="11">
        <v>22</v>
      </c>
      <c r="F67" s="21" t="s">
        <v>1</v>
      </c>
      <c r="G67" s="21"/>
      <c r="H67" s="21"/>
      <c r="I67" s="22"/>
      <c r="J67" s="23"/>
      <c r="K67" s="32"/>
      <c r="L67" s="22"/>
      <c r="M67" s="23"/>
    </row>
    <row r="68" spans="1:13" ht="12">
      <c r="A68" s="11">
        <v>23</v>
      </c>
      <c r="C68" s="7" t="s">
        <v>187</v>
      </c>
      <c r="D68" s="35"/>
      <c r="E68" s="11">
        <v>23</v>
      </c>
      <c r="F68" s="36"/>
      <c r="G68" s="47"/>
      <c r="H68" s="48">
        <f>H65+H59+H66</f>
        <v>56556082</v>
      </c>
      <c r="I68" s="48"/>
      <c r="J68" s="48">
        <f>J65+J59+J66</f>
        <v>60605368</v>
      </c>
      <c r="K68" s="48">
        <f>K65+K59+K66</f>
        <v>0</v>
      </c>
      <c r="L68" s="48"/>
      <c r="M68" s="48">
        <f>M65+M59+M66</f>
        <v>71767712</v>
      </c>
    </row>
    <row r="69" spans="1:8" ht="12">
      <c r="A69" s="11">
        <v>24</v>
      </c>
      <c r="C69" s="34"/>
      <c r="D69" s="12"/>
      <c r="E69" s="11">
        <v>24</v>
      </c>
      <c r="H69" s="48"/>
    </row>
    <row r="70" spans="1:13" ht="12">
      <c r="A70" s="11">
        <v>25</v>
      </c>
      <c r="C70" s="12" t="s">
        <v>199</v>
      </c>
      <c r="D70" s="29" t="s">
        <v>247</v>
      </c>
      <c r="E70" s="11">
        <v>25</v>
      </c>
      <c r="G70" s="47"/>
      <c r="H70" s="48">
        <f>+H363</f>
        <v>3579781</v>
      </c>
      <c r="I70" s="47"/>
      <c r="J70" s="48">
        <f>+J363</f>
        <v>5072938</v>
      </c>
      <c r="K70" s="30"/>
      <c r="L70" s="47"/>
      <c r="M70" s="48">
        <f>+M363</f>
        <v>3279163</v>
      </c>
    </row>
    <row r="71" spans="1:13" ht="12">
      <c r="A71" s="7">
        <v>26</v>
      </c>
      <c r="E71" s="7">
        <v>26</v>
      </c>
      <c r="F71" s="21" t="s">
        <v>1</v>
      </c>
      <c r="G71" s="21"/>
      <c r="H71" s="21"/>
      <c r="I71" s="22"/>
      <c r="J71" s="23"/>
      <c r="K71" s="32"/>
      <c r="L71" s="22"/>
      <c r="M71" s="23"/>
    </row>
    <row r="72" spans="1:13" ht="12">
      <c r="A72" s="11">
        <v>27</v>
      </c>
      <c r="C72" s="12" t="s">
        <v>233</v>
      </c>
      <c r="E72" s="11">
        <v>27</v>
      </c>
      <c r="F72" s="5"/>
      <c r="G72" s="47"/>
      <c r="H72" s="48">
        <f>SUM(H68,H70)+1</f>
        <v>60135864</v>
      </c>
      <c r="I72" s="47"/>
      <c r="J72" s="48">
        <f>SUM(J68,J70)</f>
        <v>65678306</v>
      </c>
      <c r="K72" s="31"/>
      <c r="L72" s="47"/>
      <c r="M72" s="48">
        <f>SUM(M68,M70)</f>
        <v>75046875</v>
      </c>
    </row>
    <row r="73" spans="1:13" ht="12">
      <c r="A73" s="11"/>
      <c r="C73" s="12"/>
      <c r="E73" s="11"/>
      <c r="F73" s="5"/>
      <c r="G73" s="31"/>
      <c r="H73" s="30"/>
      <c r="I73" s="31"/>
      <c r="J73" s="31"/>
      <c r="K73" s="31"/>
      <c r="L73" s="31"/>
      <c r="M73" s="31"/>
    </row>
    <row r="74" spans="3:13" ht="12">
      <c r="C74" s="7" t="s">
        <v>91</v>
      </c>
      <c r="D74" s="29"/>
      <c r="F74" s="21"/>
      <c r="G74" s="21"/>
      <c r="H74" s="146">
        <f>+H305</f>
        <v>11368663</v>
      </c>
      <c r="I74" s="22"/>
      <c r="J74" s="146">
        <f>+J305</f>
        <v>12806470</v>
      </c>
      <c r="K74" s="32"/>
      <c r="L74" s="22"/>
      <c r="M74" s="146">
        <f>+M305</f>
        <v>13446793</v>
      </c>
    </row>
    <row r="75" spans="4:13" ht="12">
      <c r="D75" s="29"/>
      <c r="F75" s="21"/>
      <c r="G75" s="21"/>
      <c r="H75" s="21"/>
      <c r="I75" s="22"/>
      <c r="K75" s="32"/>
      <c r="L75" s="22"/>
      <c r="M75" s="23"/>
    </row>
    <row r="76" ht="12">
      <c r="E76" s="50"/>
    </row>
    <row r="77" spans="1:13" ht="12">
      <c r="A77" s="19" t="str">
        <f>$A$36</f>
        <v>Institution No.:  GFC</v>
      </c>
      <c r="E77" s="50"/>
      <c r="I77" s="17"/>
      <c r="J77" s="55"/>
      <c r="L77" s="17"/>
      <c r="M77" s="18" t="s">
        <v>117</v>
      </c>
    </row>
    <row r="78" spans="1:13" s="46" customFormat="1" ht="12">
      <c r="A78" s="262" t="s">
        <v>118</v>
      </c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</row>
    <row r="79" spans="1:13" ht="12">
      <c r="A79" s="19" t="s">
        <v>664</v>
      </c>
      <c r="C79" s="7" t="s">
        <v>540</v>
      </c>
      <c r="J79" s="55"/>
      <c r="L79" s="17"/>
      <c r="M79" s="20" t="str">
        <f>$M$3</f>
        <v>Date: 10/1/2008</v>
      </c>
    </row>
    <row r="80" spans="1:13" ht="12">
      <c r="A80" s="21" t="s">
        <v>1</v>
      </c>
      <c r="B80" s="21" t="s">
        <v>1</v>
      </c>
      <c r="C80" s="21" t="s">
        <v>1</v>
      </c>
      <c r="D80" s="21" t="s">
        <v>1</v>
      </c>
      <c r="E80" s="21" t="s">
        <v>1</v>
      </c>
      <c r="F80" s="21" t="s">
        <v>1</v>
      </c>
      <c r="G80" s="21"/>
      <c r="H80" s="21"/>
      <c r="I80" s="22" t="s">
        <v>1</v>
      </c>
      <c r="J80" s="23" t="s">
        <v>1</v>
      </c>
      <c r="K80" s="21" t="s">
        <v>1</v>
      </c>
      <c r="L80" s="22" t="s">
        <v>1</v>
      </c>
      <c r="M80" s="23" t="s">
        <v>1</v>
      </c>
    </row>
    <row r="81" spans="1:13" ht="12">
      <c r="A81" s="24" t="s">
        <v>2</v>
      </c>
      <c r="E81" s="24" t="s">
        <v>2</v>
      </c>
      <c r="G81" s="25"/>
      <c r="H81" s="25" t="s">
        <v>249</v>
      </c>
      <c r="I81" s="26"/>
      <c r="J81" s="27" t="s">
        <v>251</v>
      </c>
      <c r="K81" s="25"/>
      <c r="L81" s="26"/>
      <c r="M81" s="27" t="s">
        <v>260</v>
      </c>
    </row>
    <row r="82" spans="1:13" ht="12">
      <c r="A82" s="24" t="s">
        <v>4</v>
      </c>
      <c r="E82" s="24" t="s">
        <v>4</v>
      </c>
      <c r="G82" s="25"/>
      <c r="H82" s="25" t="s">
        <v>7</v>
      </c>
      <c r="I82" s="26"/>
      <c r="J82" s="27" t="s">
        <v>7</v>
      </c>
      <c r="K82" s="25"/>
      <c r="L82" s="26"/>
      <c r="M82" s="27" t="s">
        <v>8</v>
      </c>
    </row>
    <row r="83" spans="1:13" ht="12">
      <c r="A83" s="21" t="s">
        <v>1</v>
      </c>
      <c r="B83" s="21" t="s">
        <v>1</v>
      </c>
      <c r="C83" s="21" t="s">
        <v>1</v>
      </c>
      <c r="D83" s="21" t="s">
        <v>1</v>
      </c>
      <c r="E83" s="21" t="s">
        <v>1</v>
      </c>
      <c r="F83" s="21" t="s">
        <v>1</v>
      </c>
      <c r="G83" s="21"/>
      <c r="H83" s="21"/>
      <c r="I83" s="22" t="s">
        <v>1</v>
      </c>
      <c r="J83" s="23" t="s">
        <v>1</v>
      </c>
      <c r="K83" s="21" t="s">
        <v>1</v>
      </c>
      <c r="L83" s="22" t="s">
        <v>1</v>
      </c>
      <c r="M83" s="23" t="s">
        <v>1</v>
      </c>
    </row>
    <row r="84" spans="1:13" ht="12">
      <c r="A84" s="11">
        <v>1</v>
      </c>
      <c r="C84" s="12" t="s">
        <v>119</v>
      </c>
      <c r="E84" s="11">
        <v>1</v>
      </c>
      <c r="H84" s="30">
        <v>0</v>
      </c>
      <c r="I84" s="17"/>
      <c r="J84" s="30"/>
      <c r="L84" s="17"/>
      <c r="M84" s="30"/>
    </row>
    <row r="85" spans="1:13" ht="12">
      <c r="A85" s="29" t="s">
        <v>207</v>
      </c>
      <c r="C85" s="12" t="s">
        <v>210</v>
      </c>
      <c r="E85" s="29" t="s">
        <v>207</v>
      </c>
      <c r="F85" s="36"/>
      <c r="G85" s="36"/>
      <c r="H85" s="62">
        <v>0</v>
      </c>
      <c r="I85" s="62"/>
      <c r="J85" s="63"/>
      <c r="K85" s="62"/>
      <c r="L85" s="62"/>
      <c r="M85" s="63"/>
    </row>
    <row r="86" spans="1:13" ht="12">
      <c r="A86" s="29" t="s">
        <v>208</v>
      </c>
      <c r="C86" s="12" t="s">
        <v>211</v>
      </c>
      <c r="E86" s="29" t="s">
        <v>208</v>
      </c>
      <c r="F86" s="36"/>
      <c r="G86" s="36"/>
      <c r="H86" s="63">
        <v>0</v>
      </c>
      <c r="I86" s="62"/>
      <c r="J86" s="63"/>
      <c r="K86" s="62"/>
      <c r="L86" s="62"/>
      <c r="M86" s="63">
        <v>0</v>
      </c>
    </row>
    <row r="87" spans="1:13" ht="12">
      <c r="A87" s="29" t="s">
        <v>209</v>
      </c>
      <c r="C87" s="12" t="s">
        <v>212</v>
      </c>
      <c r="E87" s="29" t="s">
        <v>209</v>
      </c>
      <c r="F87" s="36"/>
      <c r="G87" s="36"/>
      <c r="H87" s="63">
        <v>5152.56</v>
      </c>
      <c r="I87" s="62"/>
      <c r="J87" s="63">
        <f>I294</f>
        <v>5185</v>
      </c>
      <c r="K87" s="62"/>
      <c r="L87" s="62"/>
      <c r="M87" s="63">
        <f>L294</f>
        <v>5436.3</v>
      </c>
    </row>
    <row r="88" spans="1:13" ht="12">
      <c r="A88" s="11">
        <v>3</v>
      </c>
      <c r="C88" s="12" t="s">
        <v>120</v>
      </c>
      <c r="E88" s="11">
        <v>3</v>
      </c>
      <c r="F88" s="36"/>
      <c r="G88" s="36"/>
      <c r="H88" s="63">
        <v>662.36</v>
      </c>
      <c r="I88" s="62"/>
      <c r="J88" s="63">
        <f>I293</f>
        <v>650</v>
      </c>
      <c r="K88" s="62"/>
      <c r="L88" s="62"/>
      <c r="M88" s="63">
        <f>L293</f>
        <v>668.5</v>
      </c>
    </row>
    <row r="89" spans="1:13" ht="12">
      <c r="A89" s="11">
        <v>4</v>
      </c>
      <c r="C89" s="12" t="s">
        <v>121</v>
      </c>
      <c r="E89" s="11">
        <v>4</v>
      </c>
      <c r="F89" s="36"/>
      <c r="G89" s="36"/>
      <c r="H89" s="63">
        <f>SUM(H87:H88)</f>
        <v>5814.92</v>
      </c>
      <c r="I89" s="62"/>
      <c r="J89" s="63">
        <f>SUM(J87:J88)</f>
        <v>5835</v>
      </c>
      <c r="K89" s="62"/>
      <c r="L89" s="62"/>
      <c r="M89" s="63">
        <f>SUM(M87:M88)</f>
        <v>6104.8</v>
      </c>
    </row>
    <row r="90" spans="1:13" ht="12">
      <c r="A90" s="11">
        <v>5</v>
      </c>
      <c r="E90" s="11">
        <v>5</v>
      </c>
      <c r="F90" s="36"/>
      <c r="G90" s="36"/>
      <c r="H90" s="63"/>
      <c r="I90" s="62"/>
      <c r="J90" s="63"/>
      <c r="K90" s="62"/>
      <c r="L90" s="62"/>
      <c r="M90" s="63"/>
    </row>
    <row r="91" spans="1:13" ht="12">
      <c r="A91" s="11">
        <v>6</v>
      </c>
      <c r="C91" s="12" t="s">
        <v>122</v>
      </c>
      <c r="E91" s="11">
        <v>6</v>
      </c>
      <c r="F91" s="36"/>
      <c r="G91" s="36"/>
      <c r="H91" s="63">
        <v>277.47</v>
      </c>
      <c r="I91" s="62"/>
      <c r="J91" s="63">
        <f>I296</f>
        <v>390</v>
      </c>
      <c r="K91" s="62"/>
      <c r="L91" s="62"/>
      <c r="M91" s="63">
        <f>L296</f>
        <v>353.7</v>
      </c>
    </row>
    <row r="92" spans="1:13" ht="12">
      <c r="A92" s="11">
        <v>7</v>
      </c>
      <c r="C92" s="12" t="s">
        <v>123</v>
      </c>
      <c r="E92" s="11">
        <v>7</v>
      </c>
      <c r="F92" s="36"/>
      <c r="G92" s="36"/>
      <c r="H92" s="63">
        <v>47.17</v>
      </c>
      <c r="I92" s="62"/>
      <c r="J92" s="63">
        <f>I295</f>
        <v>54</v>
      </c>
      <c r="K92" s="62"/>
      <c r="L92" s="62"/>
      <c r="M92" s="63">
        <f>L295</f>
        <v>63.5</v>
      </c>
    </row>
    <row r="93" spans="1:13" ht="12">
      <c r="A93" s="11">
        <v>8</v>
      </c>
      <c r="C93" s="12" t="s">
        <v>124</v>
      </c>
      <c r="E93" s="11">
        <v>8</v>
      </c>
      <c r="F93" s="36"/>
      <c r="G93" s="36"/>
      <c r="H93" s="63">
        <f>SUM(H91:H92)</f>
        <v>324.64000000000004</v>
      </c>
      <c r="I93" s="62"/>
      <c r="J93" s="63">
        <f>SUM(J91:J92)</f>
        <v>444</v>
      </c>
      <c r="K93" s="62"/>
      <c r="L93" s="62"/>
      <c r="M93" s="63">
        <f>SUM(M91:M92)</f>
        <v>417.2</v>
      </c>
    </row>
    <row r="94" spans="1:13" ht="12">
      <c r="A94" s="11">
        <v>9</v>
      </c>
      <c r="E94" s="11">
        <v>9</v>
      </c>
      <c r="F94" s="36"/>
      <c r="G94" s="36"/>
      <c r="H94" s="63"/>
      <c r="I94" s="62"/>
      <c r="J94" s="63"/>
      <c r="K94" s="62"/>
      <c r="L94" s="62"/>
      <c r="M94" s="63"/>
    </row>
    <row r="95" spans="1:13" ht="12">
      <c r="A95" s="11">
        <v>10</v>
      </c>
      <c r="C95" s="12" t="s">
        <v>125</v>
      </c>
      <c r="E95" s="11">
        <v>10</v>
      </c>
      <c r="F95" s="36"/>
      <c r="G95" s="36"/>
      <c r="H95" s="63">
        <f>H87+H91</f>
        <v>5430.030000000001</v>
      </c>
      <c r="I95" s="62"/>
      <c r="J95" s="63">
        <f>J87+J91</f>
        <v>5575</v>
      </c>
      <c r="K95" s="62"/>
      <c r="L95" s="62"/>
      <c r="M95" s="63">
        <f>M87+M91</f>
        <v>5790</v>
      </c>
    </row>
    <row r="96" spans="1:13" ht="12">
      <c r="A96" s="11">
        <v>11</v>
      </c>
      <c r="C96" s="12" t="s">
        <v>126</v>
      </c>
      <c r="E96" s="11">
        <v>11</v>
      </c>
      <c r="F96" s="36"/>
      <c r="G96" s="36"/>
      <c r="H96" s="63">
        <f>H88+H92</f>
        <v>709.53</v>
      </c>
      <c r="I96" s="62"/>
      <c r="J96" s="63">
        <f>J88+J92</f>
        <v>704</v>
      </c>
      <c r="K96" s="62"/>
      <c r="L96" s="62"/>
      <c r="M96" s="63">
        <f>M88+M92</f>
        <v>732</v>
      </c>
    </row>
    <row r="97" spans="1:13" ht="12">
      <c r="A97" s="11">
        <v>12</v>
      </c>
      <c r="C97" s="12" t="s">
        <v>127</v>
      </c>
      <c r="E97" s="11">
        <v>12</v>
      </c>
      <c r="F97" s="36"/>
      <c r="G97" s="36"/>
      <c r="H97" s="63">
        <f>H95+H96</f>
        <v>6139.56</v>
      </c>
      <c r="I97" s="62"/>
      <c r="J97" s="63">
        <f>J95+J96</f>
        <v>6279</v>
      </c>
      <c r="K97" s="62"/>
      <c r="L97" s="62"/>
      <c r="M97" s="63">
        <f>M95+M96</f>
        <v>6522</v>
      </c>
    </row>
    <row r="98" spans="1:13" ht="12">
      <c r="A98" s="11">
        <v>13</v>
      </c>
      <c r="E98" s="11">
        <v>13</v>
      </c>
      <c r="H98" s="64"/>
      <c r="I98" s="62"/>
      <c r="J98" s="64"/>
      <c r="K98" s="65"/>
      <c r="L98" s="62"/>
      <c r="M98" s="64"/>
    </row>
    <row r="99" spans="1:13" ht="12">
      <c r="A99" s="11">
        <v>15</v>
      </c>
      <c r="C99" s="12" t="s">
        <v>128</v>
      </c>
      <c r="E99" s="11">
        <v>15</v>
      </c>
      <c r="H99" s="66"/>
      <c r="I99" s="62"/>
      <c r="J99" s="66"/>
      <c r="K99" s="65"/>
      <c r="L99" s="62"/>
      <c r="M99" s="66"/>
    </row>
    <row r="100" spans="1:13" ht="12">
      <c r="A100" s="11">
        <v>16</v>
      </c>
      <c r="C100" s="12" t="s">
        <v>188</v>
      </c>
      <c r="E100" s="11">
        <v>16</v>
      </c>
      <c r="H100" s="64">
        <f>(H72-H356)/H97</f>
        <v>9506.297356813842</v>
      </c>
      <c r="I100" s="62"/>
      <c r="J100" s="64">
        <f>(J72-J356)/J97</f>
        <v>10077.69756330626</v>
      </c>
      <c r="K100" s="65"/>
      <c r="L100" s="62"/>
      <c r="M100" s="64">
        <f>(M72-M356)/M97</f>
        <v>11003.942348972707</v>
      </c>
    </row>
    <row r="101" spans="1:13" ht="12">
      <c r="A101" s="11">
        <v>17</v>
      </c>
      <c r="C101" s="12" t="s">
        <v>250</v>
      </c>
      <c r="E101" s="11">
        <v>17</v>
      </c>
      <c r="H101" s="64">
        <v>2580</v>
      </c>
      <c r="I101" s="62"/>
      <c r="J101" s="64">
        <v>2670</v>
      </c>
      <c r="K101" s="65"/>
      <c r="L101" s="62"/>
      <c r="M101" s="64">
        <v>2760</v>
      </c>
    </row>
    <row r="102" spans="1:13" ht="12">
      <c r="A102" s="11">
        <v>18</v>
      </c>
      <c r="E102" s="11">
        <v>18</v>
      </c>
      <c r="H102" s="64"/>
      <c r="I102" s="62"/>
      <c r="J102" s="65"/>
      <c r="K102" s="65"/>
      <c r="L102" s="62"/>
      <c r="M102" s="65"/>
    </row>
    <row r="103" spans="1:13" ht="12">
      <c r="A103" s="7">
        <v>19</v>
      </c>
      <c r="C103" s="12" t="s">
        <v>129</v>
      </c>
      <c r="E103" s="7">
        <v>19</v>
      </c>
      <c r="H103" s="64"/>
      <c r="I103" s="62"/>
      <c r="J103" s="65"/>
      <c r="K103" s="65"/>
      <c r="L103" s="62"/>
      <c r="M103" s="65"/>
    </row>
    <row r="104" spans="1:13" ht="12">
      <c r="A104" s="11">
        <v>20</v>
      </c>
      <c r="C104" s="12" t="s">
        <v>130</v>
      </c>
      <c r="E104" s="11">
        <v>20</v>
      </c>
      <c r="F104" s="13"/>
      <c r="G104" s="13"/>
      <c r="H104" s="67">
        <f>G484</f>
        <v>390.16</v>
      </c>
      <c r="I104" s="2"/>
      <c r="J104" s="67">
        <f>I484</f>
        <v>445.64</v>
      </c>
      <c r="K104" s="2"/>
      <c r="L104" s="2"/>
      <c r="M104" s="67">
        <f>L484</f>
        <v>438.13</v>
      </c>
    </row>
    <row r="105" spans="1:13" ht="12">
      <c r="A105" s="11">
        <v>21</v>
      </c>
      <c r="C105" s="12" t="s">
        <v>131</v>
      </c>
      <c r="E105" s="11">
        <v>21</v>
      </c>
      <c r="F105" s="13"/>
      <c r="G105" s="13"/>
      <c r="H105" s="67">
        <f>G481</f>
        <v>318.35</v>
      </c>
      <c r="I105" s="2"/>
      <c r="J105" s="67">
        <f>I481</f>
        <v>361.19</v>
      </c>
      <c r="K105" s="2"/>
      <c r="L105" s="2"/>
      <c r="M105" s="67">
        <f>L481</f>
        <v>351.99</v>
      </c>
    </row>
    <row r="106" spans="1:13" ht="12">
      <c r="A106" s="11">
        <v>22</v>
      </c>
      <c r="C106" s="12" t="s">
        <v>132</v>
      </c>
      <c r="E106" s="11">
        <v>22</v>
      </c>
      <c r="F106" s="13"/>
      <c r="G106" s="13"/>
      <c r="H106" s="67">
        <f>G483</f>
        <v>71.81</v>
      </c>
      <c r="I106" s="2"/>
      <c r="J106" s="67">
        <f>I483</f>
        <v>84.45</v>
      </c>
      <c r="K106" s="2"/>
      <c r="L106" s="2"/>
      <c r="M106" s="67">
        <f>L483</f>
        <v>86.14</v>
      </c>
    </row>
    <row r="107" spans="1:13" ht="12">
      <c r="A107" s="11">
        <v>23</v>
      </c>
      <c r="E107" s="11">
        <v>23</v>
      </c>
      <c r="F107" s="13"/>
      <c r="G107" s="13"/>
      <c r="H107" s="2"/>
      <c r="I107" s="2"/>
      <c r="J107" s="67"/>
      <c r="K107" s="2"/>
      <c r="L107" s="2"/>
      <c r="M107" s="2"/>
    </row>
    <row r="108" spans="1:13" ht="12">
      <c r="A108" s="11">
        <v>24</v>
      </c>
      <c r="C108" s="12" t="s">
        <v>133</v>
      </c>
      <c r="E108" s="11">
        <v>24</v>
      </c>
      <c r="F108" s="13"/>
      <c r="G108" s="13"/>
      <c r="H108" s="2"/>
      <c r="I108" s="2"/>
      <c r="J108" s="2"/>
      <c r="K108" s="2"/>
      <c r="L108" s="2"/>
      <c r="M108" s="2"/>
    </row>
    <row r="109" spans="1:13" ht="12">
      <c r="A109" s="11">
        <v>25</v>
      </c>
      <c r="C109" s="12" t="s">
        <v>134</v>
      </c>
      <c r="E109" s="11">
        <v>25</v>
      </c>
      <c r="H109" s="65">
        <f>IF(G484=0,0,H484/G484)</f>
        <v>64519.36641377896</v>
      </c>
      <c r="I109" s="62"/>
      <c r="J109" s="65">
        <f>IF(I484=0,0,J484/I484)</f>
        <v>65101.357598061215</v>
      </c>
      <c r="K109" s="65"/>
      <c r="L109" s="62"/>
      <c r="M109" s="65">
        <f>IF(L484=0,0,M484/L484)</f>
        <v>72812.47346677927</v>
      </c>
    </row>
    <row r="110" spans="1:13" ht="12">
      <c r="A110" s="11">
        <v>26</v>
      </c>
      <c r="C110" s="12" t="s">
        <v>135</v>
      </c>
      <c r="E110" s="11">
        <v>26</v>
      </c>
      <c r="H110" s="65">
        <f>IF(H105=0,0,(H481+H482)/H105)</f>
        <v>72964.62698288047</v>
      </c>
      <c r="I110" s="62"/>
      <c r="J110" s="65">
        <f>IF(J105=0,0,(J481+J482)/J105)</f>
        <v>74146.75932334783</v>
      </c>
      <c r="K110" s="65"/>
      <c r="L110" s="62"/>
      <c r="M110" s="65">
        <f>IF(M105=0,0,(M481+M482)/M105)</f>
        <v>84513.4492457172</v>
      </c>
    </row>
    <row r="111" spans="1:13" ht="12">
      <c r="A111" s="11">
        <v>27</v>
      </c>
      <c r="C111" s="12" t="s">
        <v>136</v>
      </c>
      <c r="E111" s="11">
        <v>27</v>
      </c>
      <c r="H111" s="65">
        <f>IF(H106=0,0,H483/H106)</f>
        <v>27079.612867288677</v>
      </c>
      <c r="I111" s="62"/>
      <c r="J111" s="65">
        <f>IF(J106=0,0,J483/J106)</f>
        <v>26414.458259325045</v>
      </c>
      <c r="K111" s="65"/>
      <c r="L111" s="62"/>
      <c r="M111" s="65">
        <f>IF(M106=0,0,M483/M106)</f>
        <v>24999.30345948456</v>
      </c>
    </row>
    <row r="112" spans="1:13" ht="12">
      <c r="A112" s="11">
        <v>28</v>
      </c>
      <c r="E112" s="11">
        <v>28</v>
      </c>
      <c r="H112" s="65"/>
      <c r="I112" s="62"/>
      <c r="J112" s="65"/>
      <c r="K112" s="65"/>
      <c r="L112" s="62"/>
      <c r="M112" s="65"/>
    </row>
    <row r="113" spans="1:13" ht="12">
      <c r="A113" s="11">
        <v>29</v>
      </c>
      <c r="C113" s="12" t="s">
        <v>137</v>
      </c>
      <c r="E113" s="11">
        <v>29</v>
      </c>
      <c r="F113" s="68"/>
      <c r="G113" s="68"/>
      <c r="H113" s="63">
        <f>G54</f>
        <v>678.8799999999999</v>
      </c>
      <c r="I113" s="62"/>
      <c r="J113" s="63">
        <f>I54</f>
        <v>717.2700000000001</v>
      </c>
      <c r="K113" s="62"/>
      <c r="L113" s="62"/>
      <c r="M113" s="63">
        <f>L54</f>
        <v>761.65</v>
      </c>
    </row>
    <row r="114" spans="1:13" ht="12">
      <c r="A114" s="12"/>
      <c r="J114" s="55"/>
      <c r="M114" s="55"/>
    </row>
    <row r="115" spans="5:13" ht="12">
      <c r="E115" s="50"/>
      <c r="I115" s="17"/>
      <c r="J115" s="55"/>
      <c r="K115" s="5"/>
      <c r="M115" s="55"/>
    </row>
    <row r="116" spans="1:13" ht="12">
      <c r="A116" s="19" t="str">
        <f>$A$36</f>
        <v>Institution No.:  GFC</v>
      </c>
      <c r="E116" s="50"/>
      <c r="I116" s="17"/>
      <c r="J116" s="55"/>
      <c r="L116" s="17"/>
      <c r="M116" s="18" t="s">
        <v>138</v>
      </c>
    </row>
    <row r="117" spans="1:13" s="46" customFormat="1" ht="12">
      <c r="A117" s="262" t="s">
        <v>161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</row>
    <row r="118" spans="1:13" ht="12">
      <c r="A118" s="19" t="s">
        <v>664</v>
      </c>
      <c r="C118" s="7" t="s">
        <v>540</v>
      </c>
      <c r="J118" s="55"/>
      <c r="L118" s="17"/>
      <c r="M118" s="20" t="str">
        <f>$M$3</f>
        <v>Date: 10/1/2008</v>
      </c>
    </row>
    <row r="119" spans="1:13" ht="12">
      <c r="A119" s="21" t="s">
        <v>1</v>
      </c>
      <c r="B119" s="21" t="s">
        <v>1</v>
      </c>
      <c r="C119" s="21" t="s">
        <v>1</v>
      </c>
      <c r="D119" s="21" t="s">
        <v>1</v>
      </c>
      <c r="E119" s="21" t="s">
        <v>1</v>
      </c>
      <c r="F119" s="21" t="s">
        <v>1</v>
      </c>
      <c r="G119" s="21"/>
      <c r="H119" s="21"/>
      <c r="I119" s="22" t="s">
        <v>1</v>
      </c>
      <c r="J119" s="23" t="s">
        <v>1</v>
      </c>
      <c r="K119" s="21" t="s">
        <v>1</v>
      </c>
      <c r="L119" s="22" t="s">
        <v>1</v>
      </c>
      <c r="M119" s="23" t="s">
        <v>1</v>
      </c>
    </row>
    <row r="120" spans="1:13" ht="12">
      <c r="A120" s="24" t="s">
        <v>2</v>
      </c>
      <c r="E120" s="24" t="s">
        <v>2</v>
      </c>
      <c r="H120" s="25" t="s">
        <v>249</v>
      </c>
      <c r="I120" s="26"/>
      <c r="J120" s="27" t="s">
        <v>251</v>
      </c>
      <c r="K120" s="25"/>
      <c r="L120" s="26"/>
      <c r="M120" s="27" t="s">
        <v>260</v>
      </c>
    </row>
    <row r="121" spans="1:13" ht="12">
      <c r="A121" s="24" t="s">
        <v>4</v>
      </c>
      <c r="C121" s="12" t="s">
        <v>0</v>
      </c>
      <c r="E121" s="24" t="s">
        <v>4</v>
      </c>
      <c r="H121" s="25" t="s">
        <v>7</v>
      </c>
      <c r="I121" s="26"/>
      <c r="J121" s="27" t="s">
        <v>7</v>
      </c>
      <c r="K121" s="25"/>
      <c r="L121" s="26"/>
      <c r="M121" s="27" t="s">
        <v>8</v>
      </c>
    </row>
    <row r="122" spans="1:13" ht="12">
      <c r="A122" s="21" t="s">
        <v>1</v>
      </c>
      <c r="B122" s="21" t="s">
        <v>1</v>
      </c>
      <c r="C122" s="21" t="s">
        <v>1</v>
      </c>
      <c r="D122" s="21" t="s">
        <v>1</v>
      </c>
      <c r="E122" s="21" t="s">
        <v>1</v>
      </c>
      <c r="F122" s="21" t="s">
        <v>1</v>
      </c>
      <c r="G122" s="21"/>
      <c r="H122" s="21"/>
      <c r="I122" s="22" t="s">
        <v>1</v>
      </c>
      <c r="J122" s="23" t="s">
        <v>1</v>
      </c>
      <c r="K122" s="21" t="s">
        <v>1</v>
      </c>
      <c r="L122" s="22" t="s">
        <v>1</v>
      </c>
      <c r="M122" s="23" t="s">
        <v>1</v>
      </c>
    </row>
    <row r="123" spans="1:13" ht="12">
      <c r="A123" s="11">
        <v>1</v>
      </c>
      <c r="C123" s="12" t="s">
        <v>139</v>
      </c>
      <c r="E123" s="11">
        <v>1</v>
      </c>
      <c r="H123" s="65"/>
      <c r="I123" s="62"/>
      <c r="J123" s="62"/>
      <c r="K123" s="65"/>
      <c r="L123" s="69"/>
      <c r="M123" s="69"/>
    </row>
    <row r="124" spans="1:13" ht="12">
      <c r="A124" s="11">
        <f aca="true" t="shared" si="0" ref="A124:A150">(A123+1)</f>
        <v>2</v>
      </c>
      <c r="C124" s="12" t="s">
        <v>140</v>
      </c>
      <c r="E124" s="11">
        <f aca="true" t="shared" si="1" ref="E124:E150">(E123+1)</f>
        <v>2</v>
      </c>
      <c r="F124" s="36"/>
      <c r="G124" s="36"/>
      <c r="H124" s="62"/>
      <c r="I124" s="62"/>
      <c r="J124" s="62"/>
      <c r="K124" s="62"/>
      <c r="L124" s="69"/>
      <c r="M124" s="70"/>
    </row>
    <row r="125" spans="1:13" ht="12">
      <c r="A125" s="11">
        <f t="shared" si="0"/>
        <v>3</v>
      </c>
      <c r="C125" s="12" t="s">
        <v>141</v>
      </c>
      <c r="E125" s="11">
        <f t="shared" si="1"/>
        <v>3</v>
      </c>
      <c r="F125" s="36"/>
      <c r="G125" s="36"/>
      <c r="H125" s="62"/>
      <c r="I125" s="62"/>
      <c r="J125" s="62"/>
      <c r="K125" s="62"/>
      <c r="L125" s="69"/>
      <c r="M125" s="70"/>
    </row>
    <row r="126" spans="1:13" ht="12">
      <c r="A126" s="11">
        <f t="shared" si="0"/>
        <v>4</v>
      </c>
      <c r="C126" s="12" t="s">
        <v>542</v>
      </c>
      <c r="E126" s="11">
        <f t="shared" si="1"/>
        <v>4</v>
      </c>
      <c r="F126" s="36"/>
      <c r="G126" s="36"/>
      <c r="H126" s="7">
        <v>0</v>
      </c>
      <c r="I126" s="62"/>
      <c r="J126" s="62">
        <v>5190</v>
      </c>
      <c r="K126" s="62"/>
      <c r="L126" s="69"/>
      <c r="M126" s="160">
        <f>2790*2</f>
        <v>5580</v>
      </c>
    </row>
    <row r="127" spans="1:13" ht="12">
      <c r="A127" s="11">
        <f t="shared" si="0"/>
        <v>5</v>
      </c>
      <c r="C127" s="7" t="s">
        <v>543</v>
      </c>
      <c r="E127" s="11">
        <f t="shared" si="1"/>
        <v>5</v>
      </c>
      <c r="F127" s="36"/>
      <c r="G127" s="36"/>
      <c r="H127" s="7">
        <v>4066</v>
      </c>
      <c r="I127" s="62"/>
      <c r="J127" s="62">
        <v>4350</v>
      </c>
      <c r="K127" s="62"/>
      <c r="L127" s="69"/>
      <c r="M127" s="160">
        <f>2338*2</f>
        <v>4676</v>
      </c>
    </row>
    <row r="128" spans="1:13" ht="12">
      <c r="A128" s="11">
        <f t="shared" si="0"/>
        <v>6</v>
      </c>
      <c r="C128" s="12" t="s">
        <v>544</v>
      </c>
      <c r="E128" s="11">
        <f t="shared" si="1"/>
        <v>6</v>
      </c>
      <c r="F128" s="36"/>
      <c r="G128" s="36"/>
      <c r="H128" s="7">
        <v>4264</v>
      </c>
      <c r="I128" s="62"/>
      <c r="J128" s="62">
        <v>4562</v>
      </c>
      <c r="K128" s="62"/>
      <c r="L128" s="69"/>
      <c r="M128" s="160">
        <f>2452*2</f>
        <v>4904</v>
      </c>
    </row>
    <row r="129" spans="1:13" ht="12">
      <c r="A129" s="11">
        <f t="shared" si="0"/>
        <v>7</v>
      </c>
      <c r="C129" s="12" t="s">
        <v>545</v>
      </c>
      <c r="E129" s="11">
        <f t="shared" si="1"/>
        <v>7</v>
      </c>
      <c r="F129" s="36"/>
      <c r="G129" s="36"/>
      <c r="H129" s="7">
        <v>4508</v>
      </c>
      <c r="I129" s="62"/>
      <c r="J129" s="62">
        <v>4824</v>
      </c>
      <c r="K129" s="62"/>
      <c r="L129" s="69"/>
      <c r="M129" s="161">
        <f>2593*2</f>
        <v>5186</v>
      </c>
    </row>
    <row r="130" spans="1:13" ht="12">
      <c r="A130" s="11">
        <f t="shared" si="0"/>
        <v>8</v>
      </c>
      <c r="C130" s="7" t="s">
        <v>546</v>
      </c>
      <c r="E130" s="11">
        <f t="shared" si="1"/>
        <v>8</v>
      </c>
      <c r="H130" s="7">
        <v>6250</v>
      </c>
      <c r="I130" s="62"/>
      <c r="J130" s="65">
        <v>6688</v>
      </c>
      <c r="K130" s="65"/>
      <c r="L130" s="69"/>
      <c r="M130" s="160">
        <f>3595*2</f>
        <v>7190</v>
      </c>
    </row>
    <row r="131" spans="1:13" ht="12">
      <c r="A131" s="11">
        <f t="shared" si="0"/>
        <v>9</v>
      </c>
      <c r="C131" s="12" t="s">
        <v>547</v>
      </c>
      <c r="E131" s="11">
        <f t="shared" si="1"/>
        <v>9</v>
      </c>
      <c r="H131" s="7">
        <v>4264</v>
      </c>
      <c r="I131" s="62"/>
      <c r="J131" s="65">
        <v>4562</v>
      </c>
      <c r="K131" s="65"/>
      <c r="L131" s="69"/>
      <c r="M131" s="160">
        <f>2452*2</f>
        <v>4904</v>
      </c>
    </row>
    <row r="132" spans="1:13" ht="12">
      <c r="A132" s="11">
        <f t="shared" si="0"/>
        <v>10</v>
      </c>
      <c r="C132" s="12" t="s">
        <v>0</v>
      </c>
      <c r="E132" s="11">
        <f t="shared" si="1"/>
        <v>10</v>
      </c>
      <c r="I132" s="62"/>
      <c r="J132" s="65"/>
      <c r="K132" s="65"/>
      <c r="L132" s="69"/>
      <c r="M132" s="160"/>
    </row>
    <row r="133" spans="1:13" ht="12">
      <c r="A133" s="11">
        <f t="shared" si="0"/>
        <v>11</v>
      </c>
      <c r="C133" s="12" t="s">
        <v>142</v>
      </c>
      <c r="E133" s="11">
        <f t="shared" si="1"/>
        <v>11</v>
      </c>
      <c r="I133" s="62"/>
      <c r="J133" s="65"/>
      <c r="K133" s="65"/>
      <c r="L133" s="69"/>
      <c r="M133" s="160"/>
    </row>
    <row r="134" spans="1:13" ht="12">
      <c r="A134" s="11">
        <f t="shared" si="0"/>
        <v>12</v>
      </c>
      <c r="C134" s="12" t="s">
        <v>548</v>
      </c>
      <c r="E134" s="11">
        <f t="shared" si="1"/>
        <v>12</v>
      </c>
      <c r="H134" s="7">
        <v>5766</v>
      </c>
      <c r="I134" s="62"/>
      <c r="J134" s="65">
        <v>7250</v>
      </c>
      <c r="K134" s="65"/>
      <c r="L134" s="69"/>
      <c r="M134" s="160">
        <f>3864*2</f>
        <v>7728</v>
      </c>
    </row>
    <row r="135" spans="1:13" ht="12">
      <c r="A135" s="11">
        <f t="shared" si="0"/>
        <v>13</v>
      </c>
      <c r="C135" s="12" t="s">
        <v>141</v>
      </c>
      <c r="E135" s="11">
        <f t="shared" si="1"/>
        <v>13</v>
      </c>
      <c r="I135" s="62"/>
      <c r="J135" s="65"/>
      <c r="K135" s="65"/>
      <c r="L135" s="69"/>
      <c r="M135" s="160"/>
    </row>
    <row r="136" spans="1:13" ht="12">
      <c r="A136" s="11">
        <f t="shared" si="0"/>
        <v>14</v>
      </c>
      <c r="C136" s="12" t="s">
        <v>0</v>
      </c>
      <c r="E136" s="11">
        <f t="shared" si="1"/>
        <v>14</v>
      </c>
      <c r="F136" s="13"/>
      <c r="G136" s="13"/>
      <c r="I136" s="2"/>
      <c r="J136" s="2"/>
      <c r="K136" s="2"/>
      <c r="L136" s="71"/>
      <c r="M136" s="162"/>
    </row>
    <row r="137" spans="1:13" ht="12">
      <c r="A137" s="11">
        <f t="shared" si="0"/>
        <v>15</v>
      </c>
      <c r="C137" s="12" t="s">
        <v>0</v>
      </c>
      <c r="E137" s="11">
        <f t="shared" si="1"/>
        <v>15</v>
      </c>
      <c r="F137" s="13"/>
      <c r="G137" s="13"/>
      <c r="I137" s="2"/>
      <c r="J137" s="2"/>
      <c r="K137" s="2"/>
      <c r="L137" s="71"/>
      <c r="M137" s="162"/>
    </row>
    <row r="138" spans="1:13" ht="12">
      <c r="A138" s="11">
        <f t="shared" si="0"/>
        <v>16</v>
      </c>
      <c r="C138" s="12" t="s">
        <v>0</v>
      </c>
      <c r="E138" s="11">
        <f t="shared" si="1"/>
        <v>16</v>
      </c>
      <c r="F138" s="13"/>
      <c r="G138" s="13"/>
      <c r="I138" s="2"/>
      <c r="J138" s="2"/>
      <c r="K138" s="2"/>
      <c r="L138" s="71"/>
      <c r="M138" s="162"/>
    </row>
    <row r="139" spans="1:13" ht="12">
      <c r="A139" s="11">
        <f t="shared" si="0"/>
        <v>17</v>
      </c>
      <c r="C139" s="12" t="s">
        <v>0</v>
      </c>
      <c r="E139" s="11">
        <f t="shared" si="1"/>
        <v>17</v>
      </c>
      <c r="F139" s="13"/>
      <c r="G139" s="13"/>
      <c r="I139" s="2"/>
      <c r="J139" s="2"/>
      <c r="K139" s="2"/>
      <c r="L139" s="71"/>
      <c r="M139" s="162"/>
    </row>
    <row r="140" spans="1:13" ht="12">
      <c r="A140" s="11">
        <f t="shared" si="0"/>
        <v>18</v>
      </c>
      <c r="C140" s="12" t="s">
        <v>0</v>
      </c>
      <c r="E140" s="11">
        <f t="shared" si="1"/>
        <v>18</v>
      </c>
      <c r="F140" s="13"/>
      <c r="G140" s="13"/>
      <c r="I140" s="2"/>
      <c r="J140" s="2"/>
      <c r="K140" s="2"/>
      <c r="L140" s="71"/>
      <c r="M140" s="162"/>
    </row>
    <row r="141" spans="1:13" ht="12">
      <c r="A141" s="11">
        <f t="shared" si="0"/>
        <v>19</v>
      </c>
      <c r="E141" s="11">
        <f t="shared" si="1"/>
        <v>19</v>
      </c>
      <c r="I141" s="62"/>
      <c r="J141" s="65"/>
      <c r="K141" s="65"/>
      <c r="L141" s="69"/>
      <c r="M141" s="160"/>
    </row>
    <row r="142" spans="1:13" ht="12">
      <c r="A142" s="11">
        <f t="shared" si="0"/>
        <v>20</v>
      </c>
      <c r="E142" s="11">
        <f t="shared" si="1"/>
        <v>20</v>
      </c>
      <c r="I142" s="62"/>
      <c r="J142" s="65"/>
      <c r="K142" s="65"/>
      <c r="L142" s="69"/>
      <c r="M142" s="160"/>
    </row>
    <row r="143" spans="1:13" ht="12">
      <c r="A143" s="11">
        <f t="shared" si="0"/>
        <v>21</v>
      </c>
      <c r="C143" s="12" t="s">
        <v>143</v>
      </c>
      <c r="E143" s="11">
        <f t="shared" si="1"/>
        <v>21</v>
      </c>
      <c r="I143" s="62"/>
      <c r="J143" s="65"/>
      <c r="K143" s="65"/>
      <c r="L143" s="69"/>
      <c r="M143" s="160"/>
    </row>
    <row r="144" spans="1:13" ht="12">
      <c r="A144" s="11">
        <f t="shared" si="0"/>
        <v>22</v>
      </c>
      <c r="C144" s="12" t="s">
        <v>140</v>
      </c>
      <c r="E144" s="11">
        <f t="shared" si="1"/>
        <v>22</v>
      </c>
      <c r="I144" s="62"/>
      <c r="J144" s="65"/>
      <c r="K144" s="65"/>
      <c r="L144" s="69"/>
      <c r="M144" s="160"/>
    </row>
    <row r="145" spans="1:13" ht="12">
      <c r="A145" s="11">
        <f t="shared" si="0"/>
        <v>23</v>
      </c>
      <c r="C145" s="12" t="s">
        <v>141</v>
      </c>
      <c r="E145" s="11">
        <f t="shared" si="1"/>
        <v>23</v>
      </c>
      <c r="I145" s="62"/>
      <c r="J145" s="65"/>
      <c r="K145" s="65"/>
      <c r="L145" s="69"/>
      <c r="M145" s="163"/>
    </row>
    <row r="146" spans="1:13" ht="12">
      <c r="A146" s="11">
        <f t="shared" si="0"/>
        <v>24</v>
      </c>
      <c r="C146" s="12" t="s">
        <v>549</v>
      </c>
      <c r="E146" s="11">
        <f t="shared" si="1"/>
        <v>24</v>
      </c>
      <c r="H146" s="7">
        <v>6640</v>
      </c>
      <c r="I146" s="62"/>
      <c r="J146" s="65">
        <v>8186</v>
      </c>
      <c r="K146" s="65"/>
      <c r="L146" s="69"/>
      <c r="M146" s="163">
        <f>4366*2</f>
        <v>8732</v>
      </c>
    </row>
    <row r="147" spans="1:13" ht="12">
      <c r="A147" s="11">
        <f t="shared" si="0"/>
        <v>25</v>
      </c>
      <c r="C147" s="7" t="s">
        <v>550</v>
      </c>
      <c r="E147" s="11">
        <f t="shared" si="1"/>
        <v>25</v>
      </c>
      <c r="H147" s="7">
        <v>6640</v>
      </c>
      <c r="I147" s="65"/>
      <c r="J147" s="65">
        <v>8186</v>
      </c>
      <c r="K147" s="65"/>
      <c r="L147" s="72"/>
      <c r="M147" s="164">
        <f>4366*2</f>
        <v>8732</v>
      </c>
    </row>
    <row r="148" spans="1:13" ht="12">
      <c r="A148" s="11">
        <f t="shared" si="0"/>
        <v>26</v>
      </c>
      <c r="C148" s="12" t="s">
        <v>551</v>
      </c>
      <c r="E148" s="11">
        <f t="shared" si="1"/>
        <v>26</v>
      </c>
      <c r="H148" s="7">
        <v>6640</v>
      </c>
      <c r="I148" s="62"/>
      <c r="J148" s="65">
        <v>8186</v>
      </c>
      <c r="K148" s="65"/>
      <c r="L148" s="69"/>
      <c r="M148" s="163">
        <f>4366*2</f>
        <v>8732</v>
      </c>
    </row>
    <row r="149" spans="1:13" ht="12">
      <c r="A149" s="11">
        <f t="shared" si="0"/>
        <v>27</v>
      </c>
      <c r="C149" s="12" t="s">
        <v>552</v>
      </c>
      <c r="E149" s="11">
        <f t="shared" si="1"/>
        <v>27</v>
      </c>
      <c r="H149" s="7">
        <v>5766</v>
      </c>
      <c r="I149" s="62"/>
      <c r="J149" s="65">
        <v>7250</v>
      </c>
      <c r="K149" s="65"/>
      <c r="L149" s="69"/>
      <c r="M149" s="163">
        <f>3864*2</f>
        <v>7728</v>
      </c>
    </row>
    <row r="150" spans="1:13" ht="12">
      <c r="A150" s="11">
        <f t="shared" si="0"/>
        <v>28</v>
      </c>
      <c r="C150" s="12" t="s">
        <v>553</v>
      </c>
      <c r="E150" s="11">
        <f t="shared" si="1"/>
        <v>28</v>
      </c>
      <c r="H150" s="7">
        <v>6640</v>
      </c>
      <c r="I150" s="62"/>
      <c r="J150" s="65">
        <v>8186</v>
      </c>
      <c r="K150" s="65"/>
      <c r="L150" s="69"/>
      <c r="M150" s="163">
        <f>4366*2</f>
        <v>8732</v>
      </c>
    </row>
    <row r="151" spans="1:13" ht="12">
      <c r="A151" s="11">
        <v>29</v>
      </c>
      <c r="C151" s="12" t="s">
        <v>554</v>
      </c>
      <c r="E151" s="11">
        <v>29</v>
      </c>
      <c r="F151" s="59"/>
      <c r="G151" s="59"/>
      <c r="H151" s="7">
        <v>9082</v>
      </c>
      <c r="I151" s="17"/>
      <c r="J151" s="59">
        <v>10798</v>
      </c>
      <c r="L151" s="17"/>
      <c r="M151" s="55">
        <f>5771*2</f>
        <v>11542</v>
      </c>
    </row>
    <row r="152" spans="1:5" ht="12">
      <c r="A152" s="11"/>
      <c r="E152" s="50"/>
    </row>
    <row r="153" spans="9:13" s="73" customFormat="1" ht="9">
      <c r="I153" s="74"/>
      <c r="J153" s="75"/>
      <c r="L153" s="74"/>
      <c r="M153" s="75"/>
    </row>
    <row r="154" spans="1:13" s="73" customFormat="1" ht="9">
      <c r="A154" s="76"/>
      <c r="I154" s="74"/>
      <c r="J154" s="75"/>
      <c r="L154" s="74"/>
      <c r="M154" s="75"/>
    </row>
    <row r="155" spans="1:13" ht="12">
      <c r="A155" s="12"/>
      <c r="J155" s="55"/>
      <c r="M155" s="55"/>
    </row>
    <row r="156" spans="1:13" ht="12">
      <c r="A156" s="12"/>
      <c r="J156" s="55"/>
      <c r="M156" s="55"/>
    </row>
    <row r="157" spans="1:13" ht="12">
      <c r="A157" s="12"/>
      <c r="J157" s="55"/>
      <c r="M157" s="55"/>
    </row>
    <row r="158" spans="1:13" ht="12">
      <c r="A158" s="12"/>
      <c r="J158" s="55"/>
      <c r="M158" s="55"/>
    </row>
    <row r="159" spans="1:13" ht="12">
      <c r="A159" s="12"/>
      <c r="J159" s="55"/>
      <c r="M159" s="55"/>
    </row>
    <row r="160" spans="1:13" ht="12">
      <c r="A160" s="12"/>
      <c r="J160" s="55"/>
      <c r="M160" s="55"/>
    </row>
    <row r="161" spans="1:13" ht="12">
      <c r="A161" s="12"/>
      <c r="J161" s="55"/>
      <c r="M161" s="55"/>
    </row>
    <row r="162" spans="1:13" ht="12">
      <c r="A162" s="12"/>
      <c r="J162" s="55"/>
      <c r="M162" s="55"/>
    </row>
    <row r="163" spans="1:13" ht="12">
      <c r="A163" s="12"/>
      <c r="J163" s="55"/>
      <c r="M163" s="55"/>
    </row>
    <row r="164" spans="5:13" ht="12">
      <c r="E164" s="50"/>
      <c r="I164" s="17"/>
      <c r="J164" s="55"/>
      <c r="K164" s="5"/>
      <c r="M164" s="55"/>
    </row>
    <row r="165" spans="1:13" ht="12">
      <c r="A165" s="19" t="str">
        <f>$A$36</f>
        <v>Institution No.:  GFC</v>
      </c>
      <c r="E165" s="50"/>
      <c r="I165" s="17"/>
      <c r="J165" s="55"/>
      <c r="L165" s="17"/>
      <c r="M165" s="18" t="s">
        <v>144</v>
      </c>
    </row>
    <row r="166" spans="1:13" ht="12.75" customHeight="1">
      <c r="A166" s="262" t="s">
        <v>145</v>
      </c>
      <c r="B166" s="26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</row>
    <row r="167" spans="1:13" ht="12">
      <c r="A167" s="19" t="s">
        <v>664</v>
      </c>
      <c r="C167" s="7" t="s">
        <v>540</v>
      </c>
      <c r="J167" s="55"/>
      <c r="L167" s="17"/>
      <c r="M167" s="20" t="str">
        <f>$M$3</f>
        <v>Date: 10/1/2008</v>
      </c>
    </row>
    <row r="168" spans="1:13" ht="12">
      <c r="A168" s="21" t="s">
        <v>1</v>
      </c>
      <c r="B168" s="21" t="s">
        <v>1</v>
      </c>
      <c r="C168" s="21" t="s">
        <v>1</v>
      </c>
      <c r="D168" s="21" t="s">
        <v>1</v>
      </c>
      <c r="E168" s="21" t="s">
        <v>1</v>
      </c>
      <c r="F168" s="21" t="s">
        <v>1</v>
      </c>
      <c r="G168" s="21"/>
      <c r="H168" s="21"/>
      <c r="I168" s="22" t="s">
        <v>1</v>
      </c>
      <c r="J168" s="23" t="s">
        <v>1</v>
      </c>
      <c r="K168" s="21" t="s">
        <v>1</v>
      </c>
      <c r="L168" s="22" t="s">
        <v>1</v>
      </c>
      <c r="M168" s="23" t="s">
        <v>1</v>
      </c>
    </row>
    <row r="169" spans="1:13" ht="12">
      <c r="A169" s="24" t="s">
        <v>2</v>
      </c>
      <c r="E169" s="24" t="s">
        <v>2</v>
      </c>
      <c r="H169" s="25" t="s">
        <v>249</v>
      </c>
      <c r="I169" s="26"/>
      <c r="J169" s="27" t="s">
        <v>251</v>
      </c>
      <c r="K169" s="25"/>
      <c r="L169" s="26"/>
      <c r="M169" s="27" t="s">
        <v>260</v>
      </c>
    </row>
    <row r="170" spans="1:13" ht="12">
      <c r="A170" s="24" t="s">
        <v>4</v>
      </c>
      <c r="C170" s="12" t="s">
        <v>0</v>
      </c>
      <c r="E170" s="24" t="s">
        <v>4</v>
      </c>
      <c r="H170" s="25" t="s">
        <v>7</v>
      </c>
      <c r="I170" s="26"/>
      <c r="J170" s="27" t="s">
        <v>7</v>
      </c>
      <c r="K170" s="25"/>
      <c r="L170" s="26"/>
      <c r="M170" s="27" t="s">
        <v>8</v>
      </c>
    </row>
    <row r="171" spans="1:13" ht="12">
      <c r="A171" s="21" t="s">
        <v>1</v>
      </c>
      <c r="B171" s="21" t="s">
        <v>1</v>
      </c>
      <c r="C171" s="21" t="s">
        <v>1</v>
      </c>
      <c r="D171" s="21" t="s">
        <v>1</v>
      </c>
      <c r="E171" s="21" t="s">
        <v>1</v>
      </c>
      <c r="F171" s="21" t="s">
        <v>1</v>
      </c>
      <c r="G171" s="21"/>
      <c r="H171" s="21"/>
      <c r="I171" s="22" t="s">
        <v>1</v>
      </c>
      <c r="J171" s="23" t="s">
        <v>1</v>
      </c>
      <c r="K171" s="21" t="s">
        <v>1</v>
      </c>
      <c r="L171" s="22" t="s">
        <v>1</v>
      </c>
      <c r="M171" s="23" t="s">
        <v>1</v>
      </c>
    </row>
    <row r="172" spans="1:13" ht="12">
      <c r="A172" s="11">
        <v>1</v>
      </c>
      <c r="C172" s="12" t="s">
        <v>139</v>
      </c>
      <c r="E172" s="11">
        <v>1</v>
      </c>
      <c r="H172" s="65"/>
      <c r="I172" s="62"/>
      <c r="J172" s="62"/>
      <c r="K172" s="65"/>
      <c r="L172" s="17"/>
      <c r="M172" s="55"/>
    </row>
    <row r="173" spans="1:13" ht="12">
      <c r="A173" s="11">
        <f aca="true" t="shared" si="2" ref="A173:A201">(A172+1)</f>
        <v>2</v>
      </c>
      <c r="C173" s="12" t="s">
        <v>140</v>
      </c>
      <c r="E173" s="11">
        <f aca="true" t="shared" si="3" ref="E173:E201">(E172+1)</f>
        <v>2</v>
      </c>
      <c r="F173" s="36"/>
      <c r="G173" s="36"/>
      <c r="H173" s="62"/>
      <c r="I173" s="62"/>
      <c r="J173" s="62"/>
      <c r="K173" s="62"/>
      <c r="L173" s="17"/>
      <c r="M173" s="70"/>
    </row>
    <row r="174" spans="1:13" ht="12">
      <c r="A174" s="11">
        <f t="shared" si="2"/>
        <v>3</v>
      </c>
      <c r="C174" s="12" t="s">
        <v>141</v>
      </c>
      <c r="E174" s="11">
        <f t="shared" si="3"/>
        <v>3</v>
      </c>
      <c r="F174" s="36"/>
      <c r="G174" s="36"/>
      <c r="H174" s="62"/>
      <c r="I174" s="62"/>
      <c r="J174" s="62"/>
      <c r="K174" s="62"/>
      <c r="L174" s="17"/>
      <c r="M174" s="70"/>
    </row>
    <row r="175" spans="1:13" ht="12">
      <c r="A175" s="11">
        <f t="shared" si="2"/>
        <v>4</v>
      </c>
      <c r="C175" s="12" t="s">
        <v>542</v>
      </c>
      <c r="E175" s="11">
        <f t="shared" si="3"/>
        <v>4</v>
      </c>
      <c r="F175" s="36"/>
      <c r="G175" s="36"/>
      <c r="H175" s="62">
        <v>0</v>
      </c>
      <c r="I175" s="62"/>
      <c r="J175" s="62">
        <v>15300</v>
      </c>
      <c r="K175" s="62"/>
      <c r="L175" s="17"/>
      <c r="M175" s="160">
        <f>7650*2</f>
        <v>15300</v>
      </c>
    </row>
    <row r="176" spans="1:13" ht="12">
      <c r="A176" s="11">
        <f t="shared" si="2"/>
        <v>5</v>
      </c>
      <c r="C176" s="7" t="s">
        <v>543</v>
      </c>
      <c r="E176" s="11">
        <f t="shared" si="3"/>
        <v>5</v>
      </c>
      <c r="F176" s="36"/>
      <c r="G176" s="36"/>
      <c r="H176" s="62">
        <v>15300</v>
      </c>
      <c r="I176" s="62"/>
      <c r="J176" s="62">
        <v>15300</v>
      </c>
      <c r="K176" s="62"/>
      <c r="L176" s="17"/>
      <c r="M176" s="160">
        <f>7650*2</f>
        <v>15300</v>
      </c>
    </row>
    <row r="177" spans="1:13" ht="12">
      <c r="A177" s="11">
        <f t="shared" si="2"/>
        <v>6</v>
      </c>
      <c r="C177" s="12" t="s">
        <v>544</v>
      </c>
      <c r="E177" s="11">
        <f t="shared" si="3"/>
        <v>6</v>
      </c>
      <c r="F177" s="36"/>
      <c r="G177" s="36"/>
      <c r="H177" s="62">
        <v>15500</v>
      </c>
      <c r="I177" s="62"/>
      <c r="J177" s="62">
        <v>15500</v>
      </c>
      <c r="K177" s="62"/>
      <c r="L177" s="17"/>
      <c r="M177" s="160">
        <f>7750*2</f>
        <v>15500</v>
      </c>
    </row>
    <row r="178" spans="1:13" ht="12">
      <c r="A178" s="11">
        <f t="shared" si="2"/>
        <v>7</v>
      </c>
      <c r="C178" s="12" t="s">
        <v>545</v>
      </c>
      <c r="E178" s="11">
        <f t="shared" si="3"/>
        <v>7</v>
      </c>
      <c r="F178" s="36"/>
      <c r="G178" s="36"/>
      <c r="H178" s="62">
        <v>15800</v>
      </c>
      <c r="I178" s="62"/>
      <c r="J178" s="62">
        <v>15800</v>
      </c>
      <c r="K178" s="62"/>
      <c r="L178" s="17"/>
      <c r="M178" s="160">
        <f>7900*2</f>
        <v>15800</v>
      </c>
    </row>
    <row r="179" spans="1:13" ht="12">
      <c r="A179" s="11">
        <f t="shared" si="2"/>
        <v>8</v>
      </c>
      <c r="C179" s="7" t="s">
        <v>546</v>
      </c>
      <c r="E179" s="11">
        <f t="shared" si="3"/>
        <v>8</v>
      </c>
      <c r="H179" s="65">
        <v>15800</v>
      </c>
      <c r="I179" s="62"/>
      <c r="J179" s="62">
        <v>15800</v>
      </c>
      <c r="K179" s="65"/>
      <c r="L179" s="17"/>
      <c r="M179" s="160">
        <f>7900*2</f>
        <v>15800</v>
      </c>
    </row>
    <row r="180" spans="1:13" ht="12">
      <c r="A180" s="11">
        <f t="shared" si="2"/>
        <v>9</v>
      </c>
      <c r="C180" s="12" t="s">
        <v>547</v>
      </c>
      <c r="E180" s="11">
        <f t="shared" si="3"/>
        <v>9</v>
      </c>
      <c r="H180" s="65">
        <v>15500</v>
      </c>
      <c r="I180" s="62"/>
      <c r="J180" s="62">
        <v>15500</v>
      </c>
      <c r="K180" s="65"/>
      <c r="L180" s="17"/>
      <c r="M180" s="160">
        <f>7750*2</f>
        <v>15500</v>
      </c>
    </row>
    <row r="181" spans="1:13" ht="12">
      <c r="A181" s="11">
        <f t="shared" si="2"/>
        <v>10</v>
      </c>
      <c r="C181" s="12" t="s">
        <v>0</v>
      </c>
      <c r="E181" s="11">
        <f t="shared" si="3"/>
        <v>10</v>
      </c>
      <c r="H181" s="65"/>
      <c r="I181" s="62"/>
      <c r="J181" s="62"/>
      <c r="K181" s="65"/>
      <c r="L181" s="17"/>
      <c r="M181" s="160"/>
    </row>
    <row r="182" spans="1:13" ht="12">
      <c r="A182" s="11">
        <f t="shared" si="2"/>
        <v>11</v>
      </c>
      <c r="C182" s="12" t="s">
        <v>142</v>
      </c>
      <c r="E182" s="11">
        <f t="shared" si="3"/>
        <v>11</v>
      </c>
      <c r="H182" s="65"/>
      <c r="I182" s="62"/>
      <c r="J182" s="62"/>
      <c r="K182" s="65"/>
      <c r="L182" s="17"/>
      <c r="M182" s="160"/>
    </row>
    <row r="183" spans="1:13" ht="12">
      <c r="A183" s="11">
        <f t="shared" si="2"/>
        <v>12</v>
      </c>
      <c r="C183" s="12" t="s">
        <v>548</v>
      </c>
      <c r="E183" s="11">
        <f t="shared" si="3"/>
        <v>12</v>
      </c>
      <c r="H183" s="65">
        <v>16800</v>
      </c>
      <c r="I183" s="62"/>
      <c r="J183" s="62">
        <v>17880</v>
      </c>
      <c r="K183" s="65"/>
      <c r="L183" s="17"/>
      <c r="M183" s="160">
        <f>8948*2</f>
        <v>17896</v>
      </c>
    </row>
    <row r="184" spans="1:13" ht="12">
      <c r="A184" s="11">
        <f t="shared" si="2"/>
        <v>13</v>
      </c>
      <c r="C184" s="12" t="s">
        <v>141</v>
      </c>
      <c r="E184" s="11">
        <f t="shared" si="3"/>
        <v>13</v>
      </c>
      <c r="H184" s="65"/>
      <c r="I184" s="62"/>
      <c r="J184" s="62"/>
      <c r="K184" s="65"/>
      <c r="L184" s="17"/>
      <c r="M184" s="160"/>
    </row>
    <row r="185" spans="1:13" ht="12">
      <c r="A185" s="11">
        <f t="shared" si="2"/>
        <v>14</v>
      </c>
      <c r="C185" s="12" t="s">
        <v>0</v>
      </c>
      <c r="E185" s="11">
        <f t="shared" si="3"/>
        <v>14</v>
      </c>
      <c r="F185" s="13"/>
      <c r="G185" s="13"/>
      <c r="H185" s="2"/>
      <c r="I185" s="2"/>
      <c r="J185" s="2"/>
      <c r="K185" s="2"/>
      <c r="L185" s="14"/>
      <c r="M185" s="162"/>
    </row>
    <row r="186" spans="1:13" ht="12">
      <c r="A186" s="11">
        <f t="shared" si="2"/>
        <v>15</v>
      </c>
      <c r="C186" s="12" t="s">
        <v>0</v>
      </c>
      <c r="E186" s="11">
        <f t="shared" si="3"/>
        <v>15</v>
      </c>
      <c r="F186" s="13"/>
      <c r="G186" s="13"/>
      <c r="H186" s="2"/>
      <c r="I186" s="2"/>
      <c r="J186" s="2"/>
      <c r="K186" s="2"/>
      <c r="L186" s="14"/>
      <c r="M186" s="162"/>
    </row>
    <row r="187" spans="1:13" ht="12">
      <c r="A187" s="11">
        <f t="shared" si="2"/>
        <v>16</v>
      </c>
      <c r="C187" s="12" t="s">
        <v>0</v>
      </c>
      <c r="E187" s="11">
        <f t="shared" si="3"/>
        <v>16</v>
      </c>
      <c r="F187" s="13"/>
      <c r="G187" s="13"/>
      <c r="H187" s="2"/>
      <c r="I187" s="2"/>
      <c r="J187" s="2"/>
      <c r="K187" s="2"/>
      <c r="L187" s="14"/>
      <c r="M187" s="162"/>
    </row>
    <row r="188" spans="1:13" ht="12">
      <c r="A188" s="11">
        <f t="shared" si="2"/>
        <v>17</v>
      </c>
      <c r="C188" s="12" t="s">
        <v>0</v>
      </c>
      <c r="E188" s="11">
        <f t="shared" si="3"/>
        <v>17</v>
      </c>
      <c r="F188" s="13"/>
      <c r="G188" s="13"/>
      <c r="H188" s="2"/>
      <c r="I188" s="2"/>
      <c r="J188" s="2"/>
      <c r="K188" s="2"/>
      <c r="L188" s="14"/>
      <c r="M188" s="162"/>
    </row>
    <row r="189" spans="1:13" ht="12">
      <c r="A189" s="11">
        <f t="shared" si="2"/>
        <v>18</v>
      </c>
      <c r="C189" s="12" t="s">
        <v>0</v>
      </c>
      <c r="E189" s="11">
        <f t="shared" si="3"/>
        <v>18</v>
      </c>
      <c r="F189" s="13"/>
      <c r="G189" s="13"/>
      <c r="H189" s="2"/>
      <c r="I189" s="2"/>
      <c r="J189" s="2"/>
      <c r="K189" s="2"/>
      <c r="L189" s="14"/>
      <c r="M189" s="162"/>
    </row>
    <row r="190" spans="1:13" ht="12">
      <c r="A190" s="11">
        <f t="shared" si="2"/>
        <v>19</v>
      </c>
      <c r="E190" s="11">
        <f t="shared" si="3"/>
        <v>19</v>
      </c>
      <c r="H190" s="65"/>
      <c r="I190" s="62"/>
      <c r="J190" s="62"/>
      <c r="K190" s="65"/>
      <c r="L190" s="17"/>
      <c r="M190" s="160"/>
    </row>
    <row r="191" spans="1:13" ht="12">
      <c r="A191" s="11">
        <f t="shared" si="2"/>
        <v>20</v>
      </c>
      <c r="E191" s="11">
        <f t="shared" si="3"/>
        <v>20</v>
      </c>
      <c r="H191" s="65"/>
      <c r="I191" s="62"/>
      <c r="J191" s="62"/>
      <c r="K191" s="65"/>
      <c r="L191" s="17"/>
      <c r="M191" s="160"/>
    </row>
    <row r="192" spans="1:13" ht="12">
      <c r="A192" s="11">
        <f t="shared" si="2"/>
        <v>21</v>
      </c>
      <c r="C192" s="12" t="s">
        <v>143</v>
      </c>
      <c r="E192" s="11">
        <f t="shared" si="3"/>
        <v>21</v>
      </c>
      <c r="H192" s="65"/>
      <c r="I192" s="62"/>
      <c r="J192" s="62"/>
      <c r="K192" s="65"/>
      <c r="L192" s="17"/>
      <c r="M192" s="160"/>
    </row>
    <row r="193" spans="1:13" ht="12">
      <c r="A193" s="11">
        <f t="shared" si="2"/>
        <v>22</v>
      </c>
      <c r="C193" s="12" t="s">
        <v>140</v>
      </c>
      <c r="E193" s="11">
        <f t="shared" si="3"/>
        <v>22</v>
      </c>
      <c r="H193" s="65"/>
      <c r="I193" s="62"/>
      <c r="J193" s="62"/>
      <c r="K193" s="65"/>
      <c r="L193" s="17"/>
      <c r="M193" s="160"/>
    </row>
    <row r="194" spans="1:13" ht="12">
      <c r="A194" s="11">
        <f t="shared" si="2"/>
        <v>23</v>
      </c>
      <c r="C194" s="12" t="s">
        <v>141</v>
      </c>
      <c r="E194" s="11">
        <f t="shared" si="3"/>
        <v>23</v>
      </c>
      <c r="H194" s="65"/>
      <c r="I194" s="62"/>
      <c r="J194" s="62"/>
      <c r="K194" s="65"/>
      <c r="L194" s="17"/>
      <c r="M194" s="160"/>
    </row>
    <row r="195" spans="1:13" ht="12">
      <c r="A195" s="11">
        <f t="shared" si="2"/>
        <v>24</v>
      </c>
      <c r="C195" s="12" t="s">
        <v>549</v>
      </c>
      <c r="E195" s="11">
        <f t="shared" si="3"/>
        <v>24</v>
      </c>
      <c r="H195" s="65">
        <v>18000</v>
      </c>
      <c r="I195" s="62"/>
      <c r="J195" s="62">
        <v>19080</v>
      </c>
      <c r="K195" s="65"/>
      <c r="L195" s="17"/>
      <c r="M195" s="55">
        <f>9548*2</f>
        <v>19096</v>
      </c>
    </row>
    <row r="196" spans="1:13" ht="12">
      <c r="A196" s="11">
        <f t="shared" si="2"/>
        <v>25</v>
      </c>
      <c r="C196" s="7" t="s">
        <v>550</v>
      </c>
      <c r="E196" s="11">
        <f t="shared" si="3"/>
        <v>25</v>
      </c>
      <c r="H196" s="65">
        <v>18000</v>
      </c>
      <c r="I196" s="65"/>
      <c r="J196" s="65">
        <v>19080</v>
      </c>
      <c r="K196" s="65"/>
      <c r="M196" s="9">
        <f>9548*2</f>
        <v>19096</v>
      </c>
    </row>
    <row r="197" spans="1:13" ht="12">
      <c r="A197" s="11">
        <f t="shared" si="2"/>
        <v>26</v>
      </c>
      <c r="C197" s="12" t="s">
        <v>551</v>
      </c>
      <c r="E197" s="11">
        <f t="shared" si="3"/>
        <v>26</v>
      </c>
      <c r="H197" s="65">
        <v>18000</v>
      </c>
      <c r="I197" s="62"/>
      <c r="J197" s="62">
        <v>19080</v>
      </c>
      <c r="K197" s="65"/>
      <c r="L197" s="17"/>
      <c r="M197" s="55">
        <f>9548*2</f>
        <v>19096</v>
      </c>
    </row>
    <row r="198" spans="1:13" ht="12">
      <c r="A198" s="11">
        <f t="shared" si="2"/>
        <v>27</v>
      </c>
      <c r="C198" s="12" t="s">
        <v>552</v>
      </c>
      <c r="E198" s="11">
        <f t="shared" si="3"/>
        <v>27</v>
      </c>
      <c r="H198" s="65">
        <v>16800</v>
      </c>
      <c r="I198" s="62"/>
      <c r="J198" s="62">
        <v>17880</v>
      </c>
      <c r="K198" s="65"/>
      <c r="L198" s="17"/>
      <c r="M198" s="55">
        <f>8948*2</f>
        <v>17896</v>
      </c>
    </row>
    <row r="199" spans="1:13" ht="12">
      <c r="A199" s="11">
        <f t="shared" si="2"/>
        <v>28</v>
      </c>
      <c r="C199" s="12" t="s">
        <v>553</v>
      </c>
      <c r="E199" s="11">
        <f t="shared" si="3"/>
        <v>28</v>
      </c>
      <c r="H199" s="65">
        <v>18000</v>
      </c>
      <c r="I199" s="62"/>
      <c r="J199" s="62">
        <v>19080</v>
      </c>
      <c r="K199" s="65"/>
      <c r="L199" s="17"/>
      <c r="M199" s="55">
        <f>9548*2</f>
        <v>19096</v>
      </c>
    </row>
    <row r="200" spans="1:13" ht="12">
      <c r="A200" s="11">
        <f t="shared" si="2"/>
        <v>29</v>
      </c>
      <c r="C200" s="12" t="s">
        <v>554</v>
      </c>
      <c r="E200" s="11">
        <f t="shared" si="3"/>
        <v>29</v>
      </c>
      <c r="F200" s="59"/>
      <c r="G200" s="59"/>
      <c r="H200" s="62">
        <v>18000</v>
      </c>
      <c r="I200" s="62"/>
      <c r="J200" s="62">
        <v>19080</v>
      </c>
      <c r="K200" s="65"/>
      <c r="L200" s="17"/>
      <c r="M200" s="55">
        <f>9548*2</f>
        <v>19096</v>
      </c>
    </row>
    <row r="201" spans="1:11" ht="12">
      <c r="A201" s="11">
        <f t="shared" si="2"/>
        <v>30</v>
      </c>
      <c r="E201" s="11">
        <f t="shared" si="3"/>
        <v>30</v>
      </c>
      <c r="H201" s="65"/>
      <c r="I201" s="65"/>
      <c r="J201" s="65"/>
      <c r="K201" s="65"/>
    </row>
    <row r="203" ht="12">
      <c r="A203" s="12"/>
    </row>
    <row r="204" spans="1:13" ht="12">
      <c r="A204" s="12"/>
      <c r="J204" s="55"/>
      <c r="M204" s="55"/>
    </row>
    <row r="205" spans="1:13" ht="12">
      <c r="A205" s="12"/>
      <c r="J205" s="55"/>
      <c r="M205" s="55"/>
    </row>
    <row r="206" spans="1:13" ht="12">
      <c r="A206" s="12"/>
      <c r="J206" s="55"/>
      <c r="M206" s="55"/>
    </row>
    <row r="207" spans="1:13" ht="12">
      <c r="A207" s="12"/>
      <c r="J207" s="55"/>
      <c r="M207" s="55"/>
    </row>
    <row r="208" spans="1:13" ht="12">
      <c r="A208" s="12"/>
      <c r="J208" s="55"/>
      <c r="M208" s="55"/>
    </row>
    <row r="209" spans="1:13" ht="12">
      <c r="A209" s="12"/>
      <c r="J209" s="55"/>
      <c r="M209" s="55"/>
    </row>
    <row r="210" spans="1:13" ht="12">
      <c r="A210" s="12"/>
      <c r="J210" s="55"/>
      <c r="M210" s="55"/>
    </row>
    <row r="211" spans="1:13" ht="12">
      <c r="A211" s="12"/>
      <c r="J211" s="55"/>
      <c r="M211" s="55"/>
    </row>
    <row r="212" spans="1:13" ht="12">
      <c r="A212" s="19" t="str">
        <f>$A$36</f>
        <v>Institution No.:  GFC</v>
      </c>
      <c r="C212" s="77"/>
      <c r="I212" s="7"/>
      <c r="J212" s="7"/>
      <c r="K212" s="33" t="s">
        <v>163</v>
      </c>
      <c r="L212" s="7"/>
      <c r="M212" s="7"/>
    </row>
    <row r="213" spans="1:13" ht="12">
      <c r="A213" s="54"/>
      <c r="B213" s="277" t="s">
        <v>164</v>
      </c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</row>
    <row r="214" spans="1:13" ht="12">
      <c r="A214" s="19" t="s">
        <v>664</v>
      </c>
      <c r="C214" s="7" t="s">
        <v>540</v>
      </c>
      <c r="I214" s="7"/>
      <c r="J214" s="7"/>
      <c r="K214" s="78" t="s">
        <v>181</v>
      </c>
      <c r="L214" s="7"/>
      <c r="M214" s="7"/>
    </row>
    <row r="215" spans="1:13" ht="12">
      <c r="A215" s="21"/>
      <c r="C215" s="21" t="s">
        <v>1</v>
      </c>
      <c r="D215" s="21" t="s">
        <v>1</v>
      </c>
      <c r="E215" s="21" t="s">
        <v>1</v>
      </c>
      <c r="F215" s="21" t="s">
        <v>1</v>
      </c>
      <c r="G215" s="21"/>
      <c r="H215" s="21"/>
      <c r="I215" s="21" t="s">
        <v>1</v>
      </c>
      <c r="J215" s="21" t="s">
        <v>1</v>
      </c>
      <c r="K215" s="21" t="s">
        <v>1</v>
      </c>
      <c r="L215" s="21" t="s">
        <v>1</v>
      </c>
      <c r="M215" s="7"/>
    </row>
    <row r="216" spans="1:13" ht="12">
      <c r="A216" s="24"/>
      <c r="D216" s="28" t="s">
        <v>249</v>
      </c>
      <c r="G216" s="28"/>
      <c r="I216" s="28" t="s">
        <v>251</v>
      </c>
      <c r="J216" s="7"/>
      <c r="L216" s="7"/>
      <c r="M216" s="7"/>
    </row>
    <row r="217" spans="1:13" ht="12">
      <c r="A217" s="24"/>
      <c r="D217" s="28" t="s">
        <v>165</v>
      </c>
      <c r="G217" s="28"/>
      <c r="I217" s="28" t="s">
        <v>182</v>
      </c>
      <c r="J217" s="7"/>
      <c r="L217" s="7"/>
      <c r="M217" s="7"/>
    </row>
    <row r="218" spans="1:13" ht="12">
      <c r="A218" s="21"/>
      <c r="D218" s="28" t="s">
        <v>21</v>
      </c>
      <c r="E218" s="28" t="s">
        <v>21</v>
      </c>
      <c r="F218" s="28" t="s">
        <v>166</v>
      </c>
      <c r="G218" s="28"/>
      <c r="H218" s="28"/>
      <c r="I218" s="28" t="s">
        <v>21</v>
      </c>
      <c r="J218" s="28" t="s">
        <v>21</v>
      </c>
      <c r="K218" s="28" t="s">
        <v>166</v>
      </c>
      <c r="L218" s="28"/>
      <c r="M218" s="7"/>
    </row>
    <row r="219" spans="1:13" ht="12">
      <c r="A219" s="12"/>
      <c r="C219" s="28" t="s">
        <v>167</v>
      </c>
      <c r="D219" s="28" t="s">
        <v>168</v>
      </c>
      <c r="E219" s="28" t="s">
        <v>169</v>
      </c>
      <c r="F219" s="28" t="s">
        <v>170</v>
      </c>
      <c r="G219" s="28"/>
      <c r="H219" s="28"/>
      <c r="I219" s="28" t="s">
        <v>168</v>
      </c>
      <c r="J219" s="28" t="s">
        <v>169</v>
      </c>
      <c r="K219" s="28" t="s">
        <v>170</v>
      </c>
      <c r="L219" s="28"/>
      <c r="M219" s="7"/>
    </row>
    <row r="220" spans="1:13" ht="12">
      <c r="A220" s="12"/>
      <c r="C220" s="21" t="s">
        <v>1</v>
      </c>
      <c r="D220" s="21" t="s">
        <v>1</v>
      </c>
      <c r="E220" s="21" t="s">
        <v>1</v>
      </c>
      <c r="F220" s="21" t="s">
        <v>1</v>
      </c>
      <c r="G220" s="21"/>
      <c r="H220" s="21"/>
      <c r="I220" s="21" t="s">
        <v>1</v>
      </c>
      <c r="J220" s="21" t="s">
        <v>1</v>
      </c>
      <c r="K220" s="21" t="s">
        <v>1</v>
      </c>
      <c r="L220" s="21" t="s">
        <v>1</v>
      </c>
      <c r="M220" s="7"/>
    </row>
    <row r="221" spans="1:13" ht="12">
      <c r="A221" s="12"/>
      <c r="I221" s="7"/>
      <c r="J221" s="7"/>
      <c r="L221" s="7"/>
      <c r="M221" s="7"/>
    </row>
    <row r="222" spans="1:13" ht="12">
      <c r="A222" s="12"/>
      <c r="C222" s="12" t="s">
        <v>171</v>
      </c>
      <c r="D222" s="79"/>
      <c r="E222" s="79"/>
      <c r="F222" s="79"/>
      <c r="G222" s="29"/>
      <c r="H222" s="29"/>
      <c r="I222" s="79"/>
      <c r="J222" s="79"/>
      <c r="K222" s="80"/>
      <c r="L222" s="7"/>
      <c r="M222" s="7"/>
    </row>
    <row r="223" spans="1:13" ht="12">
      <c r="A223" s="12"/>
      <c r="D223" s="79"/>
      <c r="E223" s="79"/>
      <c r="F223" s="79"/>
      <c r="G223" s="81"/>
      <c r="H223" s="81"/>
      <c r="I223" s="79"/>
      <c r="J223" s="79"/>
      <c r="K223" s="79"/>
      <c r="L223" s="7"/>
      <c r="M223" s="7"/>
    </row>
    <row r="224" spans="1:13" ht="12">
      <c r="A224" s="12"/>
      <c r="C224" s="12" t="s">
        <v>172</v>
      </c>
      <c r="D224" s="63">
        <v>2949.13</v>
      </c>
      <c r="E224" s="63">
        <v>102.72</v>
      </c>
      <c r="F224" s="64">
        <f>D224/E224</f>
        <v>28.7103777258567</v>
      </c>
      <c r="G224" s="29"/>
      <c r="H224" s="29"/>
      <c r="I224" s="63">
        <v>3071.4</v>
      </c>
      <c r="J224" s="63">
        <v>108.7</v>
      </c>
      <c r="K224" s="63">
        <f>I224/J224</f>
        <v>28.2557497700092</v>
      </c>
      <c r="L224" s="11"/>
      <c r="M224" s="7"/>
    </row>
    <row r="225" spans="1:13" ht="12">
      <c r="A225" s="12"/>
      <c r="D225" s="64"/>
      <c r="E225" s="64"/>
      <c r="F225" s="64"/>
      <c r="G225" s="81"/>
      <c r="H225" s="81"/>
      <c r="I225" s="64"/>
      <c r="J225" s="64"/>
      <c r="K225" s="64"/>
      <c r="L225" s="7"/>
      <c r="M225" s="7"/>
    </row>
    <row r="226" spans="1:13" ht="12">
      <c r="A226" s="12"/>
      <c r="C226" s="12" t="s">
        <v>173</v>
      </c>
      <c r="D226" s="63">
        <v>2521.97</v>
      </c>
      <c r="E226" s="63">
        <v>151.29</v>
      </c>
      <c r="F226" s="64">
        <f>D226/E226</f>
        <v>16.669773283098685</v>
      </c>
      <c r="G226" s="29"/>
      <c r="H226" s="29"/>
      <c r="I226" s="63">
        <v>2544.47</v>
      </c>
      <c r="J226" s="63">
        <v>166.8</v>
      </c>
      <c r="K226" s="63">
        <f>I226/J226</f>
        <v>15.254616306954434</v>
      </c>
      <c r="L226" s="11"/>
      <c r="M226" s="7"/>
    </row>
    <row r="227" spans="1:13" ht="12">
      <c r="A227" s="12"/>
      <c r="D227" s="64"/>
      <c r="E227" s="64"/>
      <c r="F227" s="64"/>
      <c r="G227" s="81"/>
      <c r="H227" s="81"/>
      <c r="I227" s="64"/>
      <c r="J227" s="64"/>
      <c r="K227" s="64"/>
      <c r="L227" s="7"/>
      <c r="M227" s="7"/>
    </row>
    <row r="228" spans="1:13" ht="12">
      <c r="A228" s="12"/>
      <c r="C228" s="12" t="s">
        <v>174</v>
      </c>
      <c r="D228" s="63">
        <f>SUM(D222:D226)</f>
        <v>5471.1</v>
      </c>
      <c r="E228" s="63">
        <f>SUM(E222:E226)</f>
        <v>254.01</v>
      </c>
      <c r="F228" s="64">
        <f>D228/E228</f>
        <v>21.538915790716903</v>
      </c>
      <c r="G228" s="82"/>
      <c r="H228" s="82"/>
      <c r="I228" s="63">
        <f>SUM(I222:I226)</f>
        <v>5615.87</v>
      </c>
      <c r="J228" s="63">
        <f>SUM(J222:J226)</f>
        <v>275.5</v>
      </c>
      <c r="K228" s="63">
        <f>I228/J228</f>
        <v>20.384283121597097</v>
      </c>
      <c r="L228" s="31"/>
      <c r="M228" s="83"/>
    </row>
    <row r="229" spans="1:13" ht="12">
      <c r="A229" s="12"/>
      <c r="D229" s="81"/>
      <c r="E229" s="81"/>
      <c r="F229" s="84"/>
      <c r="G229" s="81"/>
      <c r="H229" s="81"/>
      <c r="I229" s="84"/>
      <c r="J229" s="84"/>
      <c r="K229" s="84"/>
      <c r="L229" s="7"/>
      <c r="M229" s="7"/>
    </row>
    <row r="230" spans="1:13" ht="12">
      <c r="A230" s="12"/>
      <c r="D230" s="81"/>
      <c r="E230" s="81"/>
      <c r="F230" s="84"/>
      <c r="G230" s="81"/>
      <c r="H230" s="81"/>
      <c r="I230" s="84"/>
      <c r="J230" s="84"/>
      <c r="K230" s="84"/>
      <c r="L230" s="7"/>
      <c r="M230" s="7"/>
    </row>
    <row r="231" spans="1:13" ht="12">
      <c r="A231" s="12"/>
      <c r="C231" s="12" t="s">
        <v>175</v>
      </c>
      <c r="D231" s="64">
        <v>609.22</v>
      </c>
      <c r="E231" s="64">
        <v>79.59</v>
      </c>
      <c r="F231" s="64">
        <f aca="true" t="shared" si="4" ref="F231:F237">D231/E231</f>
        <v>7.654479205930393</v>
      </c>
      <c r="G231" s="29"/>
      <c r="H231" s="29"/>
      <c r="I231" s="64">
        <v>590.77</v>
      </c>
      <c r="J231" s="64">
        <v>65.9</v>
      </c>
      <c r="K231" s="63">
        <f aca="true" t="shared" si="5" ref="K231:K237">I231/J231</f>
        <v>8.964643399089528</v>
      </c>
      <c r="L231" s="11"/>
      <c r="M231" s="7"/>
    </row>
    <row r="232" spans="1:13" ht="12">
      <c r="A232" s="12"/>
      <c r="D232" s="64"/>
      <c r="E232" s="64"/>
      <c r="F232" s="64"/>
      <c r="G232" s="81"/>
      <c r="H232" s="81"/>
      <c r="I232" s="64"/>
      <c r="J232" s="64"/>
      <c r="K232" s="63"/>
      <c r="L232" s="7"/>
      <c r="M232" s="7"/>
    </row>
    <row r="233" spans="1:13" ht="12">
      <c r="A233" s="12"/>
      <c r="B233" s="12" t="s">
        <v>0</v>
      </c>
      <c r="C233" s="12" t="s">
        <v>176</v>
      </c>
      <c r="D233" s="64">
        <v>51.25</v>
      </c>
      <c r="E233" s="64">
        <v>9.03</v>
      </c>
      <c r="F233" s="64">
        <f t="shared" si="4"/>
        <v>5.675526024363234</v>
      </c>
      <c r="G233" s="29"/>
      <c r="H233" s="29"/>
      <c r="I233" s="64">
        <v>63.7</v>
      </c>
      <c r="J233" s="64">
        <v>11.6</v>
      </c>
      <c r="K233" s="63">
        <f t="shared" si="5"/>
        <v>5.491379310344828</v>
      </c>
      <c r="L233" s="11"/>
      <c r="M233" s="7"/>
    </row>
    <row r="234" spans="1:13" ht="12">
      <c r="A234" s="12"/>
      <c r="D234" s="64"/>
      <c r="E234" s="64"/>
      <c r="F234" s="64"/>
      <c r="G234" s="81"/>
      <c r="H234" s="81"/>
      <c r="I234" s="64"/>
      <c r="J234" s="64"/>
      <c r="K234" s="63"/>
      <c r="L234" s="7"/>
      <c r="M234" s="7"/>
    </row>
    <row r="235" spans="1:13" ht="12">
      <c r="A235" s="12"/>
      <c r="C235" s="12" t="s">
        <v>177</v>
      </c>
      <c r="D235" s="64">
        <f>+D231+D233</f>
        <v>660.47</v>
      </c>
      <c r="E235" s="64">
        <f>+E231+E233</f>
        <v>88.62</v>
      </c>
      <c r="F235" s="64">
        <f t="shared" si="4"/>
        <v>7.452832317761228</v>
      </c>
      <c r="G235" s="82"/>
      <c r="H235" s="82"/>
      <c r="I235" s="64">
        <f>SUM(I231:I233)</f>
        <v>654.47</v>
      </c>
      <c r="J235" s="64">
        <f>SUM(J231:J233)</f>
        <v>77.5</v>
      </c>
      <c r="K235" s="63">
        <f t="shared" si="5"/>
        <v>8.444774193548387</v>
      </c>
      <c r="L235" s="11"/>
      <c r="M235" s="7"/>
    </row>
    <row r="236" spans="1:13" ht="12">
      <c r="A236" s="12"/>
      <c r="D236" s="64"/>
      <c r="E236" s="64"/>
      <c r="F236" s="64"/>
      <c r="G236" s="81"/>
      <c r="H236" s="81"/>
      <c r="I236" s="81"/>
      <c r="J236" s="81"/>
      <c r="K236" s="63"/>
      <c r="L236" s="7"/>
      <c r="M236" s="7"/>
    </row>
    <row r="237" spans="1:13" ht="12">
      <c r="A237" s="12"/>
      <c r="C237" s="12" t="s">
        <v>178</v>
      </c>
      <c r="D237" s="63">
        <f>SUM(D228,D235)</f>
        <v>6131.570000000001</v>
      </c>
      <c r="E237" s="63">
        <f>SUM(E228,E235)</f>
        <v>342.63</v>
      </c>
      <c r="F237" s="64">
        <f t="shared" si="4"/>
        <v>17.89560166943934</v>
      </c>
      <c r="G237" s="82"/>
      <c r="H237" s="82"/>
      <c r="I237" s="82">
        <f>SUM(I228,I235)</f>
        <v>6270.34</v>
      </c>
      <c r="J237" s="82">
        <f>SUM(J228,J235)</f>
        <v>353</v>
      </c>
      <c r="K237" s="63">
        <f t="shared" si="5"/>
        <v>17.76300283286119</v>
      </c>
      <c r="L237" s="11"/>
      <c r="M237" s="7"/>
    </row>
    <row r="238" spans="1:13" ht="12">
      <c r="A238" s="12"/>
      <c r="I238" s="7"/>
      <c r="J238" s="7"/>
      <c r="L238" s="7"/>
      <c r="M238" s="7"/>
    </row>
    <row r="239" spans="1:13" ht="12">
      <c r="A239" s="12"/>
      <c r="I239" s="7"/>
      <c r="J239" s="7"/>
      <c r="L239" s="7"/>
      <c r="M239" s="7"/>
    </row>
    <row r="240" spans="1:13" ht="12">
      <c r="A240" s="12"/>
      <c r="I240" s="7"/>
      <c r="J240" s="7"/>
      <c r="L240" s="7"/>
      <c r="M240" s="7"/>
    </row>
    <row r="241" spans="1:13" ht="12">
      <c r="A241" s="12"/>
      <c r="I241" s="7"/>
      <c r="J241" s="7"/>
      <c r="L241" s="7"/>
      <c r="M241" s="7"/>
    </row>
    <row r="242" spans="1:13" ht="12">
      <c r="A242" s="12"/>
      <c r="C242" s="12" t="s">
        <v>179</v>
      </c>
      <c r="I242" s="7"/>
      <c r="J242" s="7"/>
      <c r="L242" s="7"/>
      <c r="M242" s="7"/>
    </row>
    <row r="243" spans="1:13" ht="12">
      <c r="A243" s="12"/>
      <c r="C243" s="12" t="s">
        <v>180</v>
      </c>
      <c r="I243" s="7"/>
      <c r="J243" s="7"/>
      <c r="L243" s="7"/>
      <c r="M243" s="7"/>
    </row>
    <row r="244" spans="1:13" ht="12">
      <c r="A244" s="12"/>
      <c r="J244" s="55"/>
      <c r="M244" s="55"/>
    </row>
    <row r="245" spans="1:13" ht="12">
      <c r="A245" s="12"/>
      <c r="J245" s="55"/>
      <c r="M245" s="55"/>
    </row>
    <row r="246" spans="1:13" ht="12">
      <c r="A246" s="12"/>
      <c r="J246" s="55"/>
      <c r="M246" s="55"/>
    </row>
    <row r="247" spans="1:13" ht="12">
      <c r="A247" s="12"/>
      <c r="J247" s="55"/>
      <c r="M247" s="55"/>
    </row>
    <row r="248" spans="1:13" ht="12">
      <c r="A248" s="12"/>
      <c r="J248" s="55"/>
      <c r="M248" s="55"/>
    </row>
    <row r="249" spans="1:13" ht="12">
      <c r="A249" s="12"/>
      <c r="J249" s="55"/>
      <c r="M249" s="55"/>
    </row>
    <row r="250" spans="1:13" ht="12">
      <c r="A250" s="12"/>
      <c r="J250" s="55"/>
      <c r="M250" s="55"/>
    </row>
    <row r="251" spans="1:13" ht="12">
      <c r="A251" s="12"/>
      <c r="J251" s="55"/>
      <c r="M251" s="55"/>
    </row>
    <row r="252" spans="1:13" ht="12">
      <c r="A252" s="12"/>
      <c r="J252" s="55"/>
      <c r="M252" s="55"/>
    </row>
    <row r="253" spans="1:13" ht="12">
      <c r="A253" s="12"/>
      <c r="J253" s="55"/>
      <c r="M253" s="55"/>
    </row>
    <row r="254" spans="1:13" ht="12">
      <c r="A254" s="12"/>
      <c r="J254" s="55"/>
      <c r="M254" s="55"/>
    </row>
    <row r="255" spans="1:13" ht="12">
      <c r="A255" s="12"/>
      <c r="J255" s="55"/>
      <c r="M255" s="55"/>
    </row>
    <row r="256" spans="1:13" ht="12">
      <c r="A256" s="12"/>
      <c r="J256" s="55"/>
      <c r="M256" s="55"/>
    </row>
    <row r="257" spans="1:13" ht="12">
      <c r="A257" s="12"/>
      <c r="J257" s="55"/>
      <c r="M257" s="55"/>
    </row>
    <row r="258" spans="1:13" ht="12">
      <c r="A258" s="12"/>
      <c r="J258" s="55"/>
      <c r="M258" s="55"/>
    </row>
    <row r="259" spans="1:13" ht="12">
      <c r="A259" s="12"/>
      <c r="J259" s="55"/>
      <c r="M259" s="55"/>
    </row>
    <row r="260" spans="1:13" ht="12">
      <c r="A260" s="12"/>
      <c r="J260" s="55"/>
      <c r="M260" s="55"/>
    </row>
    <row r="261" spans="1:13" s="46" customFormat="1" ht="12">
      <c r="A261" s="19" t="str">
        <f>$A$36</f>
        <v>Institution No.:  GFC</v>
      </c>
      <c r="E261" s="51"/>
      <c r="I261" s="52"/>
      <c r="J261" s="53"/>
      <c r="L261" s="52"/>
      <c r="M261" s="18" t="s">
        <v>60</v>
      </c>
    </row>
    <row r="262" spans="5:13" s="46" customFormat="1" ht="12">
      <c r="E262" s="51" t="s">
        <v>213</v>
      </c>
      <c r="I262" s="52"/>
      <c r="J262" s="53"/>
      <c r="L262" s="52"/>
      <c r="M262" s="53"/>
    </row>
    <row r="263" spans="1:13" ht="12">
      <c r="A263" s="19" t="s">
        <v>664</v>
      </c>
      <c r="C263" s="7" t="s">
        <v>540</v>
      </c>
      <c r="F263" s="34"/>
      <c r="G263" s="34"/>
      <c r="H263" s="34"/>
      <c r="I263" s="85"/>
      <c r="J263" s="86"/>
      <c r="L263" s="17"/>
      <c r="M263" s="20" t="str">
        <f>$M$3</f>
        <v>Date: 10/1/2008</v>
      </c>
    </row>
    <row r="264" spans="1:13" ht="12">
      <c r="A264" s="21" t="s">
        <v>1</v>
      </c>
      <c r="B264" s="21" t="s">
        <v>1</v>
      </c>
      <c r="C264" s="21" t="s">
        <v>1</v>
      </c>
      <c r="D264" s="21" t="s">
        <v>1</v>
      </c>
      <c r="E264" s="21" t="s">
        <v>1</v>
      </c>
      <c r="F264" s="21" t="s">
        <v>1</v>
      </c>
      <c r="G264" s="21"/>
      <c r="H264" s="21"/>
      <c r="I264" s="22" t="s">
        <v>1</v>
      </c>
      <c r="J264" s="23" t="s">
        <v>1</v>
      </c>
      <c r="K264" s="21" t="s">
        <v>1</v>
      </c>
      <c r="L264" s="22" t="s">
        <v>1</v>
      </c>
      <c r="M264" s="23" t="s">
        <v>1</v>
      </c>
    </row>
    <row r="265" spans="1:13" ht="12">
      <c r="A265" s="24" t="s">
        <v>2</v>
      </c>
      <c r="E265" s="24" t="s">
        <v>2</v>
      </c>
      <c r="F265" s="25"/>
      <c r="G265" s="26"/>
      <c r="H265" s="25" t="s">
        <v>249</v>
      </c>
      <c r="I265" s="26"/>
      <c r="J265" s="27" t="s">
        <v>251</v>
      </c>
      <c r="K265" s="25"/>
      <c r="L265" s="26"/>
      <c r="M265" s="27" t="s">
        <v>260</v>
      </c>
    </row>
    <row r="266" spans="1:13" ht="33.75" customHeight="1">
      <c r="A266" s="24" t="s">
        <v>4</v>
      </c>
      <c r="C266" s="28" t="s">
        <v>20</v>
      </c>
      <c r="D266" s="87" t="s">
        <v>281</v>
      </c>
      <c r="E266" s="24" t="s">
        <v>4</v>
      </c>
      <c r="F266" s="25"/>
      <c r="G266" s="26" t="s">
        <v>6</v>
      </c>
      <c r="H266" s="25" t="s">
        <v>7</v>
      </c>
      <c r="I266" s="26" t="s">
        <v>6</v>
      </c>
      <c r="J266" s="27" t="s">
        <v>7</v>
      </c>
      <c r="K266" s="25"/>
      <c r="L266" s="26" t="s">
        <v>6</v>
      </c>
      <c r="M266" s="27" t="s">
        <v>8</v>
      </c>
    </row>
    <row r="267" spans="1:13" ht="12">
      <c r="A267" s="21" t="s">
        <v>1</v>
      </c>
      <c r="B267" s="21" t="s">
        <v>1</v>
      </c>
      <c r="C267" s="21" t="s">
        <v>1</v>
      </c>
      <c r="D267" s="21" t="s">
        <v>1</v>
      </c>
      <c r="E267" s="21" t="s">
        <v>1</v>
      </c>
      <c r="F267" s="21" t="s">
        <v>1</v>
      </c>
      <c r="G267" s="21"/>
      <c r="H267" s="21"/>
      <c r="I267" s="22" t="s">
        <v>1</v>
      </c>
      <c r="J267" s="23" t="s">
        <v>1</v>
      </c>
      <c r="K267" s="21" t="s">
        <v>1</v>
      </c>
      <c r="L267" s="22" t="s">
        <v>1</v>
      </c>
      <c r="M267" s="23" t="s">
        <v>1</v>
      </c>
    </row>
    <row r="268" spans="1:13" ht="12">
      <c r="A268" s="11">
        <v>1</v>
      </c>
      <c r="C268" s="12" t="s">
        <v>61</v>
      </c>
      <c r="E268" s="11">
        <v>1</v>
      </c>
      <c r="I268" s="17"/>
      <c r="J268" s="55"/>
      <c r="L268" s="17"/>
      <c r="M268" s="55"/>
    </row>
    <row r="269" spans="1:13" ht="12">
      <c r="A269" s="11">
        <f>(A268+1)</f>
        <v>2</v>
      </c>
      <c r="C269" s="12" t="s">
        <v>62</v>
      </c>
      <c r="D269" s="12" t="s">
        <v>263</v>
      </c>
      <c r="E269" s="11">
        <f>(E268+1)</f>
        <v>2</v>
      </c>
      <c r="F269" s="13"/>
      <c r="G269" s="67">
        <v>125.4</v>
      </c>
      <c r="H269" s="2">
        <v>1246093</v>
      </c>
      <c r="I269" s="67">
        <v>138</v>
      </c>
      <c r="J269" s="2">
        <v>1338477</v>
      </c>
      <c r="K269" s="2"/>
      <c r="L269" s="67">
        <v>141.4</v>
      </c>
      <c r="M269" s="2">
        <v>1517305</v>
      </c>
    </row>
    <row r="270" spans="1:13" ht="12">
      <c r="A270" s="11">
        <f>(A269+1)</f>
        <v>3</v>
      </c>
      <c r="D270" s="12" t="s">
        <v>264</v>
      </c>
      <c r="E270" s="11">
        <f>(E269+1)</f>
        <v>3</v>
      </c>
      <c r="F270" s="13"/>
      <c r="G270" s="67">
        <v>368.7</v>
      </c>
      <c r="H270" s="2">
        <v>3066267</v>
      </c>
      <c r="I270" s="67">
        <v>377</v>
      </c>
      <c r="J270" s="2">
        <v>3352732</v>
      </c>
      <c r="K270" s="2"/>
      <c r="L270" s="67">
        <v>388.9</v>
      </c>
      <c r="M270" s="2">
        <v>3487811</v>
      </c>
    </row>
    <row r="271" spans="1:13" ht="12">
      <c r="A271" s="11">
        <v>4</v>
      </c>
      <c r="C271" s="12" t="s">
        <v>63</v>
      </c>
      <c r="D271" s="12" t="s">
        <v>265</v>
      </c>
      <c r="E271" s="11">
        <v>4</v>
      </c>
      <c r="F271" s="13"/>
      <c r="G271" s="67">
        <v>6.8</v>
      </c>
      <c r="H271" s="2">
        <v>209748</v>
      </c>
      <c r="I271" s="67">
        <v>8</v>
      </c>
      <c r="J271" s="2">
        <v>202116</v>
      </c>
      <c r="K271" s="2"/>
      <c r="L271" s="67">
        <v>7.5</v>
      </c>
      <c r="M271" s="2">
        <v>228384</v>
      </c>
    </row>
    <row r="272" spans="1:13" ht="12">
      <c r="A272" s="11">
        <f>(A271+1)</f>
        <v>5</v>
      </c>
      <c r="D272" s="12" t="s">
        <v>266</v>
      </c>
      <c r="E272" s="11">
        <f>(E271+1)</f>
        <v>5</v>
      </c>
      <c r="F272" s="13"/>
      <c r="G272" s="67">
        <v>13.5</v>
      </c>
      <c r="H272" s="2">
        <v>402860</v>
      </c>
      <c r="I272" s="67">
        <v>28</v>
      </c>
      <c r="J272" s="2">
        <f>455518+66168</f>
        <v>521686</v>
      </c>
      <c r="K272" s="2"/>
      <c r="L272" s="67">
        <v>17.5</v>
      </c>
      <c r="M272" s="2">
        <f>56639+507926</f>
        <v>564565</v>
      </c>
    </row>
    <row r="273" spans="1:13" ht="12">
      <c r="A273" s="11">
        <f>(A272+1)</f>
        <v>6</v>
      </c>
      <c r="C273" s="12" t="s">
        <v>64</v>
      </c>
      <c r="E273" s="11">
        <f>(E272+1)</f>
        <v>6</v>
      </c>
      <c r="G273" s="64">
        <f>SUM(G268:G272)</f>
        <v>514.4000000000001</v>
      </c>
      <c r="H273" s="65">
        <f>SUM(H268:H272)</f>
        <v>4924968</v>
      </c>
      <c r="I273" s="64">
        <f>SUM(I268:I272)</f>
        <v>551</v>
      </c>
      <c r="J273" s="65">
        <f>SUM(J268:J272)</f>
        <v>5415011</v>
      </c>
      <c r="K273" s="65"/>
      <c r="L273" s="64">
        <f>SUM(L268:L272)</f>
        <v>555.3</v>
      </c>
      <c r="M273" s="65">
        <f>SUM(M268:M272)</f>
        <v>5798065</v>
      </c>
    </row>
    <row r="274" spans="1:13" ht="12">
      <c r="A274" s="11">
        <f>(A273+1)</f>
        <v>7</v>
      </c>
      <c r="C274" s="12" t="s">
        <v>65</v>
      </c>
      <c r="E274" s="11">
        <f>(E273+1)</f>
        <v>7</v>
      </c>
      <c r="G274" s="64"/>
      <c r="H274" s="65"/>
      <c r="I274" s="63"/>
      <c r="J274" s="62"/>
      <c r="K274" s="65"/>
      <c r="L274" s="63"/>
      <c r="M274" s="62"/>
    </row>
    <row r="275" spans="1:13" ht="12">
      <c r="A275" s="11">
        <f>(A274+1)</f>
        <v>8</v>
      </c>
      <c r="C275" s="12" t="s">
        <v>62</v>
      </c>
      <c r="D275" s="12" t="s">
        <v>263</v>
      </c>
      <c r="E275" s="11">
        <f>(E274+1)</f>
        <v>8</v>
      </c>
      <c r="F275" s="13"/>
      <c r="G275" s="67">
        <v>268.4</v>
      </c>
      <c r="H275" s="2">
        <v>2545472</v>
      </c>
      <c r="I275" s="67">
        <v>262</v>
      </c>
      <c r="J275" s="2">
        <v>2654084</v>
      </c>
      <c r="K275" s="2"/>
      <c r="L275" s="67">
        <v>269.7</v>
      </c>
      <c r="M275" s="2">
        <v>2997487</v>
      </c>
    </row>
    <row r="276" spans="1:13" ht="12">
      <c r="A276" s="11">
        <v>9</v>
      </c>
      <c r="D276" s="12" t="s">
        <v>264</v>
      </c>
      <c r="E276" s="11">
        <v>9</v>
      </c>
      <c r="F276" s="13"/>
      <c r="G276" s="67">
        <v>2442</v>
      </c>
      <c r="H276" s="2">
        <v>17745468</v>
      </c>
      <c r="I276" s="67">
        <v>2454</v>
      </c>
      <c r="J276" s="2">
        <f>19333712+69352</f>
        <v>19403064</v>
      </c>
      <c r="K276" s="2"/>
      <c r="L276" s="67">
        <v>2575.5</v>
      </c>
      <c r="M276" s="2">
        <v>21260396</v>
      </c>
    </row>
    <row r="277" spans="1:13" ht="12">
      <c r="A277" s="11">
        <v>10</v>
      </c>
      <c r="C277" s="12" t="s">
        <v>63</v>
      </c>
      <c r="D277" s="12" t="s">
        <v>265</v>
      </c>
      <c r="E277" s="11">
        <v>10</v>
      </c>
      <c r="F277" s="13"/>
      <c r="G277" s="67">
        <v>22.6</v>
      </c>
      <c r="H277" s="2">
        <v>536862</v>
      </c>
      <c r="I277" s="67">
        <v>24</v>
      </c>
      <c r="J277" s="2">
        <v>573476</v>
      </c>
      <c r="K277" s="2"/>
      <c r="L277" s="67">
        <v>28.7</v>
      </c>
      <c r="M277" s="2">
        <v>611333</v>
      </c>
    </row>
    <row r="278" spans="1:13" ht="12">
      <c r="A278" s="11">
        <f>(A277+1)</f>
        <v>11</v>
      </c>
      <c r="D278" s="12" t="s">
        <v>266</v>
      </c>
      <c r="E278" s="11">
        <f>(E277+1)</f>
        <v>11</v>
      </c>
      <c r="F278" s="13"/>
      <c r="G278" s="67">
        <v>133.4</v>
      </c>
      <c r="H278" s="2">
        <v>2779175</v>
      </c>
      <c r="I278" s="67">
        <v>185</v>
      </c>
      <c r="J278" s="2">
        <f>2228095+658580</f>
        <v>2886675</v>
      </c>
      <c r="K278" s="2"/>
      <c r="L278" s="67">
        <v>173.1</v>
      </c>
      <c r="M278" s="2">
        <f>770907+2241222</f>
        <v>3012129</v>
      </c>
    </row>
    <row r="279" spans="1:13" ht="12">
      <c r="A279" s="11">
        <f>(A278+1)</f>
        <v>12</v>
      </c>
      <c r="C279" s="12" t="s">
        <v>66</v>
      </c>
      <c r="E279" s="11">
        <f>(E278+1)</f>
        <v>12</v>
      </c>
      <c r="G279" s="64">
        <f>SUM(G275:G278)</f>
        <v>2866.4</v>
      </c>
      <c r="H279" s="65">
        <f>SUM(H275:H278)</f>
        <v>23606977</v>
      </c>
      <c r="I279" s="64">
        <f>SUM(I275:I278)</f>
        <v>2925</v>
      </c>
      <c r="J279" s="65">
        <f>SUM(J275:J278)</f>
        <v>25517299</v>
      </c>
      <c r="K279" s="65"/>
      <c r="L279" s="64">
        <f>SUM(L275:L278)</f>
        <v>3046.9999999999995</v>
      </c>
      <c r="M279" s="65">
        <f>SUM(M275:M278)</f>
        <v>27881345</v>
      </c>
    </row>
    <row r="280" spans="1:13" ht="12">
      <c r="A280" s="11">
        <f>(A279+1)</f>
        <v>13</v>
      </c>
      <c r="C280" s="12" t="s">
        <v>67</v>
      </c>
      <c r="E280" s="11">
        <f>(E279+1)</f>
        <v>13</v>
      </c>
      <c r="G280" s="64"/>
      <c r="H280" s="65"/>
      <c r="I280" s="63"/>
      <c r="J280" s="62"/>
      <c r="K280" s="65"/>
      <c r="L280" s="63"/>
      <c r="M280" s="62"/>
    </row>
    <row r="281" spans="1:13" ht="12">
      <c r="A281" s="11">
        <f>(A280+1)</f>
        <v>14</v>
      </c>
      <c r="C281" s="12" t="s">
        <v>62</v>
      </c>
      <c r="D281" s="12" t="s">
        <v>263</v>
      </c>
      <c r="E281" s="11">
        <f>(E280+1)</f>
        <v>14</v>
      </c>
      <c r="F281" s="13"/>
      <c r="G281" s="165">
        <v>0</v>
      </c>
      <c r="H281" s="166">
        <v>0</v>
      </c>
      <c r="I281" s="117">
        <v>0</v>
      </c>
      <c r="J281" s="117">
        <v>0</v>
      </c>
      <c r="K281" s="2"/>
      <c r="L281" s="167">
        <v>0</v>
      </c>
      <c r="M281" s="168">
        <v>0</v>
      </c>
    </row>
    <row r="282" spans="1:13" ht="12">
      <c r="A282" s="11">
        <v>15</v>
      </c>
      <c r="C282" s="12"/>
      <c r="D282" s="12" t="s">
        <v>264</v>
      </c>
      <c r="E282" s="11">
        <v>15</v>
      </c>
      <c r="F282" s="13"/>
      <c r="G282" s="165">
        <v>0</v>
      </c>
      <c r="H282" s="166">
        <v>0</v>
      </c>
      <c r="I282" s="117">
        <v>0</v>
      </c>
      <c r="J282" s="117">
        <v>0</v>
      </c>
      <c r="K282" s="2"/>
      <c r="L282" s="167">
        <v>0</v>
      </c>
      <c r="M282" s="168">
        <v>0</v>
      </c>
    </row>
    <row r="283" spans="1:13" ht="12">
      <c r="A283" s="11">
        <v>16</v>
      </c>
      <c r="C283" s="12" t="s">
        <v>63</v>
      </c>
      <c r="D283" s="12" t="s">
        <v>265</v>
      </c>
      <c r="E283" s="11">
        <v>16</v>
      </c>
      <c r="F283" s="13"/>
      <c r="G283" s="165">
        <v>0</v>
      </c>
      <c r="H283" s="166">
        <v>0</v>
      </c>
      <c r="I283" s="117">
        <v>0</v>
      </c>
      <c r="J283" s="117">
        <v>0</v>
      </c>
      <c r="K283" s="2"/>
      <c r="L283" s="167">
        <v>0</v>
      </c>
      <c r="M283" s="168">
        <v>0</v>
      </c>
    </row>
    <row r="284" spans="1:13" ht="12">
      <c r="A284" s="11">
        <v>17</v>
      </c>
      <c r="C284" s="12"/>
      <c r="D284" s="12" t="s">
        <v>266</v>
      </c>
      <c r="E284" s="11">
        <v>17</v>
      </c>
      <c r="G284" s="169">
        <v>0</v>
      </c>
      <c r="H284" s="170">
        <v>0</v>
      </c>
      <c r="I284" s="118">
        <v>0</v>
      </c>
      <c r="J284" s="118">
        <v>0</v>
      </c>
      <c r="K284" s="65"/>
      <c r="L284" s="171">
        <v>0</v>
      </c>
      <c r="M284" s="172">
        <v>0</v>
      </c>
    </row>
    <row r="285" spans="1:13" ht="12">
      <c r="A285" s="11">
        <v>18</v>
      </c>
      <c r="C285" s="12" t="s">
        <v>68</v>
      </c>
      <c r="D285" s="12"/>
      <c r="E285" s="11">
        <v>18</v>
      </c>
      <c r="G285" s="169">
        <f>SUM(G281:G284)</f>
        <v>0</v>
      </c>
      <c r="H285" s="170">
        <f>SUM(H281:H284)</f>
        <v>0</v>
      </c>
      <c r="I285" s="118">
        <v>0</v>
      </c>
      <c r="J285" s="118">
        <f>SUM(J281:J284)</f>
        <v>0</v>
      </c>
      <c r="K285" s="65"/>
      <c r="L285" s="171">
        <v>0</v>
      </c>
      <c r="M285" s="172">
        <f>SUM(M281:M284)</f>
        <v>0</v>
      </c>
    </row>
    <row r="286" spans="1:13" ht="12">
      <c r="A286" s="11">
        <v>19</v>
      </c>
      <c r="C286" s="12" t="s">
        <v>69</v>
      </c>
      <c r="D286" s="12"/>
      <c r="E286" s="11">
        <v>19</v>
      </c>
      <c r="G286" s="64"/>
      <c r="H286" s="65"/>
      <c r="I286" s="64"/>
      <c r="J286" s="65"/>
      <c r="K286" s="65"/>
      <c r="L286" s="64"/>
      <c r="M286" s="65"/>
    </row>
    <row r="287" spans="1:13" ht="12">
      <c r="A287" s="11">
        <v>20</v>
      </c>
      <c r="C287" s="12" t="s">
        <v>62</v>
      </c>
      <c r="D287" s="12" t="s">
        <v>263</v>
      </c>
      <c r="E287" s="11">
        <v>20</v>
      </c>
      <c r="F287" s="88"/>
      <c r="G287" s="67">
        <v>268.6</v>
      </c>
      <c r="H287" s="2">
        <v>2517884</v>
      </c>
      <c r="I287" s="67">
        <v>250</v>
      </c>
      <c r="J287" s="2">
        <v>2535449</v>
      </c>
      <c r="K287" s="2"/>
      <c r="L287" s="67">
        <v>257.4</v>
      </c>
      <c r="M287" s="2">
        <v>2837549</v>
      </c>
    </row>
    <row r="288" spans="1:13" ht="12">
      <c r="A288" s="11">
        <v>21</v>
      </c>
      <c r="C288" s="12"/>
      <c r="D288" s="12" t="s">
        <v>264</v>
      </c>
      <c r="E288" s="11">
        <v>21</v>
      </c>
      <c r="F288" s="88"/>
      <c r="G288" s="67">
        <v>2341.9</v>
      </c>
      <c r="H288" s="2">
        <v>17166002</v>
      </c>
      <c r="I288" s="67">
        <v>2354</v>
      </c>
      <c r="J288" s="2">
        <f>18699911+69352</f>
        <v>18769263</v>
      </c>
      <c r="K288" s="2"/>
      <c r="L288" s="67">
        <v>2471.9</v>
      </c>
      <c r="M288" s="2">
        <v>20370245</v>
      </c>
    </row>
    <row r="289" spans="1:13" ht="12">
      <c r="A289" s="11">
        <v>22</v>
      </c>
      <c r="C289" s="12" t="s">
        <v>63</v>
      </c>
      <c r="D289" s="12" t="s">
        <v>265</v>
      </c>
      <c r="E289" s="11">
        <v>22</v>
      </c>
      <c r="F289" s="88"/>
      <c r="G289" s="67">
        <v>17.9</v>
      </c>
      <c r="H289" s="2">
        <v>420417</v>
      </c>
      <c r="I289" s="67">
        <v>22</v>
      </c>
      <c r="J289" s="2">
        <v>530868</v>
      </c>
      <c r="K289" s="2"/>
      <c r="L289" s="67">
        <v>27.3</v>
      </c>
      <c r="M289" s="2">
        <v>575140</v>
      </c>
    </row>
    <row r="290" spans="1:13" ht="12">
      <c r="A290" s="11">
        <v>23</v>
      </c>
      <c r="D290" s="12" t="s">
        <v>266</v>
      </c>
      <c r="E290" s="11">
        <v>23</v>
      </c>
      <c r="F290" s="88"/>
      <c r="G290" s="67">
        <v>130.5</v>
      </c>
      <c r="H290" s="2">
        <v>2765118</v>
      </c>
      <c r="I290" s="67">
        <v>177</v>
      </c>
      <c r="J290" s="2">
        <f>2104738+655226</f>
        <v>2759964</v>
      </c>
      <c r="K290" s="2"/>
      <c r="L290" s="67">
        <v>163.1</v>
      </c>
      <c r="M290" s="2">
        <f>754719+2198233</f>
        <v>2952952</v>
      </c>
    </row>
    <row r="291" spans="1:13" ht="12">
      <c r="A291" s="11">
        <v>24</v>
      </c>
      <c r="C291" s="12" t="s">
        <v>70</v>
      </c>
      <c r="E291" s="11">
        <v>24</v>
      </c>
      <c r="F291" s="59"/>
      <c r="G291" s="63">
        <f>SUM(G287:G290)</f>
        <v>2758.9</v>
      </c>
      <c r="H291" s="62">
        <f>SUM(H287:H290)</f>
        <v>22869421</v>
      </c>
      <c r="I291" s="63">
        <f>SUM(I287:I290)</f>
        <v>2803</v>
      </c>
      <c r="J291" s="62">
        <f>SUM(J287:J290)</f>
        <v>24595544</v>
      </c>
      <c r="K291" s="62"/>
      <c r="L291" s="63">
        <f>SUM(L287:L290)</f>
        <v>2919.7000000000003</v>
      </c>
      <c r="M291" s="62">
        <f>SUM(M287:M290)</f>
        <v>26735886</v>
      </c>
    </row>
    <row r="292" spans="1:13" ht="12">
      <c r="A292" s="11">
        <v>25</v>
      </c>
      <c r="C292" s="12" t="s">
        <v>71</v>
      </c>
      <c r="E292" s="11">
        <v>25</v>
      </c>
      <c r="G292" s="64"/>
      <c r="H292" s="65"/>
      <c r="I292" s="64"/>
      <c r="J292" s="65"/>
      <c r="K292" s="65"/>
      <c r="L292" s="64"/>
      <c r="M292" s="65"/>
    </row>
    <row r="293" spans="1:13" ht="12">
      <c r="A293" s="11">
        <v>26</v>
      </c>
      <c r="C293" s="12" t="s">
        <v>62</v>
      </c>
      <c r="D293" s="12" t="s">
        <v>263</v>
      </c>
      <c r="E293" s="11">
        <v>26</v>
      </c>
      <c r="G293" s="64">
        <f aca="true" t="shared" si="6" ref="G293:J296">G269+G275+G281+G287</f>
        <v>662.4</v>
      </c>
      <c r="H293" s="65">
        <f t="shared" si="6"/>
        <v>6309449</v>
      </c>
      <c r="I293" s="64">
        <f t="shared" si="6"/>
        <v>650</v>
      </c>
      <c r="J293" s="65">
        <f t="shared" si="6"/>
        <v>6528010</v>
      </c>
      <c r="K293" s="65"/>
      <c r="L293" s="64">
        <f aca="true" t="shared" si="7" ref="L293:M296">L269+L275+L281+L287</f>
        <v>668.5</v>
      </c>
      <c r="M293" s="65">
        <f t="shared" si="7"/>
        <v>7352341</v>
      </c>
    </row>
    <row r="294" spans="1:13" ht="12">
      <c r="A294" s="11">
        <v>27</v>
      </c>
      <c r="C294" s="12"/>
      <c r="D294" s="12" t="s">
        <v>264</v>
      </c>
      <c r="E294" s="11">
        <v>27</v>
      </c>
      <c r="G294" s="64">
        <f>G270+G276+G282+G288</f>
        <v>5152.6</v>
      </c>
      <c r="H294" s="65">
        <f t="shared" si="6"/>
        <v>37977737</v>
      </c>
      <c r="I294" s="64">
        <f t="shared" si="6"/>
        <v>5185</v>
      </c>
      <c r="J294" s="65">
        <f t="shared" si="6"/>
        <v>41525059</v>
      </c>
      <c r="K294" s="65"/>
      <c r="L294" s="64">
        <f t="shared" si="7"/>
        <v>5436.3</v>
      </c>
      <c r="M294" s="65">
        <f t="shared" si="7"/>
        <v>45118452</v>
      </c>
    </row>
    <row r="295" spans="1:13" ht="12">
      <c r="A295" s="11">
        <v>28</v>
      </c>
      <c r="C295" s="12" t="s">
        <v>63</v>
      </c>
      <c r="D295" s="12" t="s">
        <v>265</v>
      </c>
      <c r="E295" s="11">
        <v>28</v>
      </c>
      <c r="G295" s="64">
        <f t="shared" si="6"/>
        <v>47.3</v>
      </c>
      <c r="H295" s="65">
        <f t="shared" si="6"/>
        <v>1167027</v>
      </c>
      <c r="I295" s="64">
        <f t="shared" si="6"/>
        <v>54</v>
      </c>
      <c r="J295" s="65">
        <f t="shared" si="6"/>
        <v>1306460</v>
      </c>
      <c r="K295" s="65"/>
      <c r="L295" s="64">
        <f t="shared" si="7"/>
        <v>63.5</v>
      </c>
      <c r="M295" s="65">
        <f t="shared" si="7"/>
        <v>1414857</v>
      </c>
    </row>
    <row r="296" spans="1:13" ht="12">
      <c r="A296" s="11">
        <v>29</v>
      </c>
      <c r="D296" s="12" t="s">
        <v>266</v>
      </c>
      <c r="E296" s="11">
        <v>29</v>
      </c>
      <c r="G296" s="64">
        <f t="shared" si="6"/>
        <v>277.4</v>
      </c>
      <c r="H296" s="65">
        <f t="shared" si="6"/>
        <v>5947153</v>
      </c>
      <c r="I296" s="64">
        <f t="shared" si="6"/>
        <v>390</v>
      </c>
      <c r="J296" s="65">
        <f t="shared" si="6"/>
        <v>6168325</v>
      </c>
      <c r="K296" s="65"/>
      <c r="L296" s="64">
        <f t="shared" si="7"/>
        <v>353.7</v>
      </c>
      <c r="M296" s="65">
        <f t="shared" si="7"/>
        <v>6529646</v>
      </c>
    </row>
    <row r="297" spans="1:13" ht="12">
      <c r="A297" s="11">
        <v>30</v>
      </c>
      <c r="E297" s="11">
        <v>30</v>
      </c>
      <c r="G297" s="64"/>
      <c r="H297" s="65"/>
      <c r="I297" s="63"/>
      <c r="J297" s="62"/>
      <c r="K297" s="65"/>
      <c r="L297" s="63"/>
      <c r="M297" s="62"/>
    </row>
    <row r="298" spans="1:13" ht="12">
      <c r="A298" s="11">
        <v>31</v>
      </c>
      <c r="C298" s="12" t="s">
        <v>72</v>
      </c>
      <c r="E298" s="11">
        <v>31</v>
      </c>
      <c r="G298" s="64">
        <f>SUM(G293:G294)</f>
        <v>5815</v>
      </c>
      <c r="H298" s="65">
        <f>SUM(H293:H294)</f>
        <v>44287186</v>
      </c>
      <c r="I298" s="64">
        <f>SUM(I293:I294)</f>
        <v>5835</v>
      </c>
      <c r="J298" s="65">
        <f>SUM(J293:J294)</f>
        <v>48053069</v>
      </c>
      <c r="K298" s="65"/>
      <c r="L298" s="64">
        <f>SUM(L293:L294)</f>
        <v>6104.8</v>
      </c>
      <c r="M298" s="65">
        <f>SUM(M293:M294)</f>
        <v>52470793</v>
      </c>
    </row>
    <row r="299" spans="1:13" ht="12">
      <c r="A299" s="11">
        <v>32</v>
      </c>
      <c r="C299" s="12" t="s">
        <v>73</v>
      </c>
      <c r="E299" s="11">
        <v>32</v>
      </c>
      <c r="G299" s="64">
        <f>SUM(G295:G296)</f>
        <v>324.7</v>
      </c>
      <c r="H299" s="65">
        <f>SUM(H295:H296)</f>
        <v>7114180</v>
      </c>
      <c r="I299" s="64">
        <f>SUM(I295:I296)</f>
        <v>444</v>
      </c>
      <c r="J299" s="65">
        <f>SUM(J295:J296)</f>
        <v>7474785</v>
      </c>
      <c r="K299" s="65"/>
      <c r="L299" s="64">
        <f>SUM(L295:L296)</f>
        <v>417.2</v>
      </c>
      <c r="M299" s="65">
        <f>SUM(M295:M296)</f>
        <v>7944503</v>
      </c>
    </row>
    <row r="300" spans="1:13" ht="12">
      <c r="A300" s="11">
        <v>33</v>
      </c>
      <c r="C300" s="12" t="s">
        <v>74</v>
      </c>
      <c r="E300" s="11">
        <v>33</v>
      </c>
      <c r="F300" s="59"/>
      <c r="G300" s="63">
        <f aca="true" t="shared" si="8" ref="G300:J301">SUM(G293,G295)</f>
        <v>709.6999999999999</v>
      </c>
      <c r="H300" s="62">
        <f t="shared" si="8"/>
        <v>7476476</v>
      </c>
      <c r="I300" s="63">
        <f t="shared" si="8"/>
        <v>704</v>
      </c>
      <c r="J300" s="62">
        <f t="shared" si="8"/>
        <v>7834470</v>
      </c>
      <c r="K300" s="62"/>
      <c r="L300" s="63">
        <f>SUM(L293,L295)</f>
        <v>732</v>
      </c>
      <c r="M300" s="62">
        <f>SUM(M293,M295)</f>
        <v>8767198</v>
      </c>
    </row>
    <row r="301" spans="1:13" ht="12">
      <c r="A301" s="11">
        <v>34</v>
      </c>
      <c r="C301" s="12" t="s">
        <v>218</v>
      </c>
      <c r="E301" s="11">
        <v>34</v>
      </c>
      <c r="F301" s="59"/>
      <c r="G301" s="63">
        <f>SUM(G294,G296)</f>
        <v>5430</v>
      </c>
      <c r="H301" s="62">
        <f t="shared" si="8"/>
        <v>43924890</v>
      </c>
      <c r="I301" s="63">
        <f t="shared" si="8"/>
        <v>5575</v>
      </c>
      <c r="J301" s="62">
        <f t="shared" si="8"/>
        <v>47693384</v>
      </c>
      <c r="K301" s="62"/>
      <c r="L301" s="63">
        <f>SUM(L294,L296)</f>
        <v>5790</v>
      </c>
      <c r="M301" s="62">
        <f>SUM(M294,M296)</f>
        <v>51648098</v>
      </c>
    </row>
    <row r="302" spans="1:13" ht="12">
      <c r="A302" s="12"/>
      <c r="C302" s="21" t="s">
        <v>1</v>
      </c>
      <c r="D302" s="21" t="s">
        <v>1</v>
      </c>
      <c r="E302" s="21" t="s">
        <v>1</v>
      </c>
      <c r="F302" s="21" t="s">
        <v>1</v>
      </c>
      <c r="G302" s="89"/>
      <c r="H302" s="21"/>
      <c r="I302" s="21" t="s">
        <v>1</v>
      </c>
      <c r="J302" s="21" t="s">
        <v>1</v>
      </c>
      <c r="K302" s="21" t="s">
        <v>1</v>
      </c>
      <c r="L302" s="21" t="s">
        <v>1</v>
      </c>
      <c r="M302" s="21"/>
    </row>
    <row r="303" spans="1:13" ht="12">
      <c r="A303" s="11">
        <v>35</v>
      </c>
      <c r="C303" s="7" t="s">
        <v>75</v>
      </c>
      <c r="E303" s="11">
        <v>35</v>
      </c>
      <c r="G303" s="64">
        <f>SUM(G300:G301)</f>
        <v>6139.7</v>
      </c>
      <c r="H303" s="65">
        <f>SUM(H300:H301)</f>
        <v>51401366</v>
      </c>
      <c r="I303" s="64">
        <f>SUM(I300:I301)</f>
        <v>6279</v>
      </c>
      <c r="J303" s="65">
        <f>SUM(J300:J301)</f>
        <v>55527854</v>
      </c>
      <c r="K303" s="65"/>
      <c r="L303" s="64">
        <f>SUM(L300:L301)</f>
        <v>6522</v>
      </c>
      <c r="M303" s="65">
        <f>SUM(M300:M301)</f>
        <v>60415296</v>
      </c>
    </row>
    <row r="304" spans="3:13" ht="12">
      <c r="C304" s="12" t="s">
        <v>276</v>
      </c>
      <c r="F304" s="90" t="s">
        <v>1</v>
      </c>
      <c r="G304" s="90"/>
      <c r="H304" s="90"/>
      <c r="I304" s="22"/>
      <c r="J304" s="23"/>
      <c r="K304" s="90"/>
      <c r="L304" s="22"/>
      <c r="M304" s="23"/>
    </row>
    <row r="305" spans="1:13" ht="24">
      <c r="A305" s="7">
        <v>36</v>
      </c>
      <c r="C305" s="215" t="s">
        <v>278</v>
      </c>
      <c r="E305" s="7">
        <v>36</v>
      </c>
      <c r="F305" s="90"/>
      <c r="G305" s="90"/>
      <c r="H305" s="175">
        <v>11368663</v>
      </c>
      <c r="I305" s="23"/>
      <c r="J305" s="175">
        <f>11041143+1765327</f>
        <v>12806470</v>
      </c>
      <c r="K305" s="90"/>
      <c r="L305" s="22"/>
      <c r="M305" s="146">
        <f>11564242+1882551</f>
        <v>13446793</v>
      </c>
    </row>
    <row r="306" spans="6:13" ht="12">
      <c r="F306" s="90"/>
      <c r="G306" s="90"/>
      <c r="H306" s="90"/>
      <c r="I306" s="22"/>
      <c r="J306" s="55"/>
      <c r="K306" s="90"/>
      <c r="L306" s="22"/>
      <c r="M306" s="55"/>
    </row>
    <row r="307" ht="12">
      <c r="A307" s="12"/>
    </row>
    <row r="308" spans="1:13" ht="12">
      <c r="A308" s="19" t="str">
        <f>$A$36</f>
        <v>Institution No.:  GFC</v>
      </c>
      <c r="B308" s="46"/>
      <c r="C308" s="46"/>
      <c r="D308" s="46"/>
      <c r="E308" s="51"/>
      <c r="F308" s="46"/>
      <c r="G308" s="46"/>
      <c r="H308" s="46"/>
      <c r="I308" s="52"/>
      <c r="J308" s="53"/>
      <c r="K308" s="46"/>
      <c r="L308" s="52"/>
      <c r="M308" s="91" t="s">
        <v>76</v>
      </c>
    </row>
    <row r="309" spans="4:13" s="46" customFormat="1" ht="12">
      <c r="D309" s="60" t="s">
        <v>279</v>
      </c>
      <c r="E309" s="51"/>
      <c r="I309" s="52"/>
      <c r="J309" s="53"/>
      <c r="L309" s="52"/>
      <c r="M309" s="53"/>
    </row>
    <row r="310" spans="1:13" s="46" customFormat="1" ht="12">
      <c r="A310" s="19" t="s">
        <v>664</v>
      </c>
      <c r="B310" s="7"/>
      <c r="C310" s="7" t="s">
        <v>540</v>
      </c>
      <c r="D310" s="7"/>
      <c r="E310" s="7"/>
      <c r="F310" s="92"/>
      <c r="G310" s="92"/>
      <c r="H310" s="92"/>
      <c r="I310" s="85"/>
      <c r="J310" s="86"/>
      <c r="K310" s="7"/>
      <c r="L310" s="17"/>
      <c r="M310" s="20" t="str">
        <f>$M$3</f>
        <v>Date: 10/1/2008</v>
      </c>
    </row>
    <row r="311" spans="1:13" ht="12">
      <c r="A311" s="21" t="s">
        <v>1</v>
      </c>
      <c r="B311" s="21" t="s">
        <v>1</v>
      </c>
      <c r="C311" s="21" t="s">
        <v>1</v>
      </c>
      <c r="D311" s="21" t="s">
        <v>1</v>
      </c>
      <c r="E311" s="21" t="s">
        <v>1</v>
      </c>
      <c r="F311" s="21" t="s">
        <v>1</v>
      </c>
      <c r="G311" s="21"/>
      <c r="H311" s="21"/>
      <c r="I311" s="22" t="s">
        <v>1</v>
      </c>
      <c r="J311" s="23" t="s">
        <v>1</v>
      </c>
      <c r="K311" s="21" t="s">
        <v>1</v>
      </c>
      <c r="L311" s="22" t="s">
        <v>1</v>
      </c>
      <c r="M311" s="23" t="s">
        <v>1</v>
      </c>
    </row>
    <row r="312" spans="1:13" ht="12">
      <c r="A312" s="24" t="s">
        <v>2</v>
      </c>
      <c r="E312" s="24" t="s">
        <v>2</v>
      </c>
      <c r="H312" s="25" t="s">
        <v>249</v>
      </c>
      <c r="I312" s="26"/>
      <c r="J312" s="27" t="s">
        <v>251</v>
      </c>
      <c r="K312" s="25"/>
      <c r="L312" s="26"/>
      <c r="M312" s="27" t="s">
        <v>260</v>
      </c>
    </row>
    <row r="313" spans="1:13" ht="12">
      <c r="A313" s="24" t="s">
        <v>4</v>
      </c>
      <c r="C313" s="28" t="s">
        <v>20</v>
      </c>
      <c r="E313" s="24" t="s">
        <v>4</v>
      </c>
      <c r="H313" s="27" t="s">
        <v>7</v>
      </c>
      <c r="I313" s="17"/>
      <c r="J313" s="27" t="s">
        <v>7</v>
      </c>
      <c r="L313" s="17"/>
      <c r="M313" s="27" t="s">
        <v>8</v>
      </c>
    </row>
    <row r="314" spans="1:13" ht="12">
      <c r="A314" s="21" t="s">
        <v>1</v>
      </c>
      <c r="B314" s="21" t="s">
        <v>1</v>
      </c>
      <c r="C314" s="21" t="s">
        <v>1</v>
      </c>
      <c r="D314" s="21" t="s">
        <v>1</v>
      </c>
      <c r="E314" s="21" t="s">
        <v>1</v>
      </c>
      <c r="F314" s="21" t="s">
        <v>1</v>
      </c>
      <c r="G314" s="21"/>
      <c r="H314" s="21"/>
      <c r="I314" s="22" t="s">
        <v>1</v>
      </c>
      <c r="J314" s="23" t="s">
        <v>1</v>
      </c>
      <c r="K314" s="21" t="s">
        <v>1</v>
      </c>
      <c r="L314" s="22" t="s">
        <v>1</v>
      </c>
      <c r="M314" s="23" t="s">
        <v>1</v>
      </c>
    </row>
    <row r="315" spans="1:14" ht="12">
      <c r="A315" s="93">
        <v>1</v>
      </c>
      <c r="C315" s="12" t="s">
        <v>280</v>
      </c>
      <c r="E315" s="93">
        <v>1</v>
      </c>
      <c r="H315" s="173">
        <f>1966097+97435+55</f>
        <v>2063587</v>
      </c>
      <c r="I315" s="17"/>
      <c r="J315" s="55">
        <f>2128255+1129</f>
        <v>2129384</v>
      </c>
      <c r="L315" s="17"/>
      <c r="M315" s="55">
        <f>1036998+1015302+41480+40612</f>
        <v>2134392</v>
      </c>
      <c r="N315" s="9"/>
    </row>
    <row r="316" spans="1:13" ht="12">
      <c r="A316" s="93"/>
      <c r="C316" s="12"/>
      <c r="E316" s="93"/>
      <c r="I316" s="17"/>
      <c r="J316" s="55"/>
      <c r="L316" s="17"/>
      <c r="M316" s="55"/>
    </row>
    <row r="317" spans="6:13" ht="12">
      <c r="F317" s="90" t="s">
        <v>1</v>
      </c>
      <c r="G317" s="90"/>
      <c r="H317" s="90"/>
      <c r="I317" s="22" t="s">
        <v>1</v>
      </c>
      <c r="J317" s="23"/>
      <c r="K317" s="90"/>
      <c r="L317" s="22"/>
      <c r="M317" s="23"/>
    </row>
    <row r="318" spans="1:13" ht="12">
      <c r="A318" s="93"/>
      <c r="E318" s="93"/>
      <c r="F318" s="90" t="s">
        <v>1</v>
      </c>
      <c r="G318" s="90"/>
      <c r="H318" s="90"/>
      <c r="I318" s="22" t="s">
        <v>1</v>
      </c>
      <c r="J318" s="23"/>
      <c r="K318" s="90"/>
      <c r="L318" s="22"/>
      <c r="M318" s="23"/>
    </row>
    <row r="319" spans="1:13" ht="12">
      <c r="A319" s="93"/>
      <c r="C319" s="94"/>
      <c r="D319" s="95"/>
      <c r="E319" s="93"/>
      <c r="H319" s="65"/>
      <c r="I319" s="62"/>
      <c r="J319" s="62"/>
      <c r="K319" s="65"/>
      <c r="L319" s="62"/>
      <c r="M319" s="62"/>
    </row>
    <row r="320" spans="1:13" ht="12">
      <c r="A320" s="93">
        <v>16</v>
      </c>
      <c r="C320" s="7" t="s">
        <v>270</v>
      </c>
      <c r="E320" s="93">
        <v>16</v>
      </c>
      <c r="H320" s="65">
        <v>-2409251</v>
      </c>
      <c r="I320" s="62"/>
      <c r="J320" s="62">
        <v>-5320382</v>
      </c>
      <c r="K320" s="65"/>
      <c r="L320" s="62"/>
      <c r="M320" s="174">
        <v>0</v>
      </c>
    </row>
    <row r="321" spans="1:13" ht="12">
      <c r="A321" s="93">
        <v>17</v>
      </c>
      <c r="C321" s="12" t="s">
        <v>0</v>
      </c>
      <c r="E321" s="93">
        <v>17</v>
      </c>
      <c r="F321" s="13"/>
      <c r="G321" s="13"/>
      <c r="H321" s="2"/>
      <c r="I321" s="2"/>
      <c r="J321" s="2"/>
      <c r="K321" s="2"/>
      <c r="L321" s="2"/>
      <c r="M321" s="2"/>
    </row>
    <row r="322" spans="1:13" ht="12">
      <c r="A322" s="93">
        <v>18</v>
      </c>
      <c r="E322" s="93">
        <v>18</v>
      </c>
      <c r="H322" s="65"/>
      <c r="I322" s="65"/>
      <c r="J322" s="65"/>
      <c r="K322" s="65"/>
      <c r="L322" s="65"/>
      <c r="M322" s="65"/>
    </row>
    <row r="323" spans="1:13" ht="12">
      <c r="A323" s="93">
        <v>19</v>
      </c>
      <c r="E323" s="93">
        <v>19</v>
      </c>
      <c r="H323" s="65"/>
      <c r="I323" s="65"/>
      <c r="J323" s="65"/>
      <c r="K323" s="65"/>
      <c r="L323" s="65"/>
      <c r="M323" s="65"/>
    </row>
    <row r="324" spans="1:13" ht="12">
      <c r="A324" s="93"/>
      <c r="C324" s="94"/>
      <c r="E324" s="93"/>
      <c r="F324" s="90" t="s">
        <v>1</v>
      </c>
      <c r="G324" s="90"/>
      <c r="H324" s="90"/>
      <c r="I324" s="22" t="s">
        <v>1</v>
      </c>
      <c r="J324" s="23" t="s">
        <v>1</v>
      </c>
      <c r="K324" s="90" t="s">
        <v>1</v>
      </c>
      <c r="L324" s="22" t="s">
        <v>1</v>
      </c>
      <c r="M324" s="23" t="s">
        <v>1</v>
      </c>
    </row>
    <row r="325" spans="1:13" ht="12">
      <c r="A325" s="93">
        <v>20</v>
      </c>
      <c r="C325" s="94" t="s">
        <v>83</v>
      </c>
      <c r="E325" s="93">
        <v>20</v>
      </c>
      <c r="H325" s="65">
        <f>H315+H320</f>
        <v>-345664</v>
      </c>
      <c r="I325" s="62"/>
      <c r="J325" s="65">
        <f>J315+J320</f>
        <v>-3190998</v>
      </c>
      <c r="K325" s="65"/>
      <c r="L325" s="62"/>
      <c r="M325" s="65">
        <f>M315+M320</f>
        <v>2134392</v>
      </c>
    </row>
    <row r="326" spans="1:13" ht="12">
      <c r="A326" s="96"/>
      <c r="C326" s="12"/>
      <c r="E326" s="50"/>
      <c r="F326" s="90" t="s">
        <v>1</v>
      </c>
      <c r="G326" s="90"/>
      <c r="H326" s="90"/>
      <c r="I326" s="22" t="s">
        <v>1</v>
      </c>
      <c r="J326" s="23" t="s">
        <v>1</v>
      </c>
      <c r="K326" s="90" t="s">
        <v>1</v>
      </c>
      <c r="L326" s="22" t="s">
        <v>1</v>
      </c>
      <c r="M326" s="23" t="s">
        <v>1</v>
      </c>
    </row>
    <row r="327" spans="6:13" ht="12">
      <c r="F327" s="90"/>
      <c r="G327" s="90"/>
      <c r="H327" s="90"/>
      <c r="I327" s="22"/>
      <c r="J327" s="55"/>
      <c r="K327" s="90"/>
      <c r="L327" s="22"/>
      <c r="M327" s="55"/>
    </row>
    <row r="328" ht="12">
      <c r="A328" s="12"/>
    </row>
    <row r="329" spans="1:13" ht="12">
      <c r="A329" s="19" t="str">
        <f>$A$36</f>
        <v>Institution No.:  GFC</v>
      </c>
      <c r="B329" s="46"/>
      <c r="C329" s="46"/>
      <c r="D329" s="46"/>
      <c r="E329" s="51"/>
      <c r="F329" s="46"/>
      <c r="G329" s="46"/>
      <c r="H329" s="46"/>
      <c r="I329" s="52"/>
      <c r="J329" s="53"/>
      <c r="K329" s="46"/>
      <c r="L329" s="52"/>
      <c r="M329" s="18" t="s">
        <v>78</v>
      </c>
    </row>
    <row r="330" spans="4:13" s="46" customFormat="1" ht="12">
      <c r="D330" s="60" t="s">
        <v>282</v>
      </c>
      <c r="E330" s="51"/>
      <c r="I330" s="52"/>
      <c r="J330" s="53"/>
      <c r="L330" s="52"/>
      <c r="M330" s="53"/>
    </row>
    <row r="331" spans="1:13" s="46" customFormat="1" ht="12">
      <c r="A331" s="19" t="s">
        <v>664</v>
      </c>
      <c r="B331" s="7"/>
      <c r="C331" s="7" t="s">
        <v>540</v>
      </c>
      <c r="D331" s="7"/>
      <c r="E331" s="7"/>
      <c r="F331" s="92"/>
      <c r="G331" s="92"/>
      <c r="H331" s="92"/>
      <c r="I331" s="85"/>
      <c r="J331" s="55"/>
      <c r="K331" s="7"/>
      <c r="L331" s="17"/>
      <c r="M331" s="20" t="str">
        <f>$M$3</f>
        <v>Date: 10/1/2008</v>
      </c>
    </row>
    <row r="332" spans="1:13" ht="12">
      <c r="A332" s="21" t="s">
        <v>1</v>
      </c>
      <c r="B332" s="21" t="s">
        <v>1</v>
      </c>
      <c r="C332" s="21" t="s">
        <v>1</v>
      </c>
      <c r="D332" s="21" t="s">
        <v>1</v>
      </c>
      <c r="E332" s="21" t="s">
        <v>1</v>
      </c>
      <c r="F332" s="21" t="s">
        <v>1</v>
      </c>
      <c r="G332" s="21"/>
      <c r="H332" s="21"/>
      <c r="I332" s="22" t="s">
        <v>1</v>
      </c>
      <c r="J332" s="23" t="s">
        <v>1</v>
      </c>
      <c r="K332" s="21" t="s">
        <v>1</v>
      </c>
      <c r="L332" s="22" t="s">
        <v>1</v>
      </c>
      <c r="M332" s="23" t="s">
        <v>1</v>
      </c>
    </row>
    <row r="333" spans="1:13" ht="12">
      <c r="A333" s="24" t="s">
        <v>2</v>
      </c>
      <c r="E333" s="24" t="s">
        <v>2</v>
      </c>
      <c r="H333" s="25" t="s">
        <v>249</v>
      </c>
      <c r="I333" s="26"/>
      <c r="J333" s="27" t="s">
        <v>251</v>
      </c>
      <c r="K333" s="25"/>
      <c r="L333" s="26"/>
      <c r="M333" s="27" t="s">
        <v>260</v>
      </c>
    </row>
    <row r="334" spans="1:13" ht="12">
      <c r="A334" s="24" t="s">
        <v>4</v>
      </c>
      <c r="C334" s="28" t="s">
        <v>20</v>
      </c>
      <c r="E334" s="24" t="s">
        <v>4</v>
      </c>
      <c r="H334" s="27" t="s">
        <v>7</v>
      </c>
      <c r="I334" s="17"/>
      <c r="J334" s="27" t="s">
        <v>7</v>
      </c>
      <c r="L334" s="17"/>
      <c r="M334" s="27" t="s">
        <v>8</v>
      </c>
    </row>
    <row r="335" spans="1:13" ht="12">
      <c r="A335" s="21" t="s">
        <v>1</v>
      </c>
      <c r="B335" s="21" t="s">
        <v>1</v>
      </c>
      <c r="C335" s="21" t="s">
        <v>1</v>
      </c>
      <c r="D335" s="21" t="s">
        <v>1</v>
      </c>
      <c r="E335" s="21" t="s">
        <v>1</v>
      </c>
      <c r="F335" s="21" t="s">
        <v>1</v>
      </c>
      <c r="G335" s="21"/>
      <c r="H335" s="21"/>
      <c r="I335" s="22" t="s">
        <v>1</v>
      </c>
      <c r="J335" s="23" t="s">
        <v>1</v>
      </c>
      <c r="K335" s="21" t="s">
        <v>1</v>
      </c>
      <c r="L335" s="22" t="s">
        <v>1</v>
      </c>
      <c r="M335" s="23" t="s">
        <v>1</v>
      </c>
    </row>
    <row r="336" spans="1:13" ht="12">
      <c r="A336" s="93">
        <v>1</v>
      </c>
      <c r="C336" s="12" t="s">
        <v>84</v>
      </c>
      <c r="E336" s="93">
        <v>1</v>
      </c>
      <c r="H336" s="65"/>
      <c r="I336" s="62"/>
      <c r="J336" s="62"/>
      <c r="K336" s="65"/>
      <c r="L336" s="62"/>
      <c r="M336" s="62"/>
    </row>
    <row r="337" spans="1:13" ht="12">
      <c r="A337" s="93"/>
      <c r="C337" s="12"/>
      <c r="E337" s="93"/>
      <c r="H337" s="65"/>
      <c r="I337" s="62"/>
      <c r="J337" s="62"/>
      <c r="K337" s="65"/>
      <c r="L337" s="62"/>
      <c r="M337" s="62"/>
    </row>
    <row r="338" spans="1:13" ht="12">
      <c r="A338" s="93">
        <f>(A336+1)</f>
        <v>2</v>
      </c>
      <c r="C338" s="13" t="s">
        <v>79</v>
      </c>
      <c r="E338" s="93">
        <f>(E336+1)</f>
        <v>2</v>
      </c>
      <c r="F338" s="13"/>
      <c r="G338" s="13"/>
      <c r="H338" s="2">
        <v>940488</v>
      </c>
      <c r="I338" s="2"/>
      <c r="J338" s="2">
        <v>1209621</v>
      </c>
      <c r="K338" s="2"/>
      <c r="L338" s="2"/>
      <c r="M338" s="2">
        <v>897437</v>
      </c>
    </row>
    <row r="339" spans="1:13" ht="12">
      <c r="A339" s="93">
        <f aca="true" t="shared" si="9" ref="A339:A344">(A338+1)</f>
        <v>3</v>
      </c>
      <c r="C339" s="13" t="s">
        <v>80</v>
      </c>
      <c r="E339" s="93">
        <f aca="true" t="shared" si="10" ref="E339:E344">(E338+1)</f>
        <v>3</v>
      </c>
      <c r="F339" s="13"/>
      <c r="G339" s="13"/>
      <c r="H339" s="2">
        <v>759894</v>
      </c>
      <c r="I339" s="2"/>
      <c r="J339" s="2">
        <v>875623</v>
      </c>
      <c r="K339" s="2"/>
      <c r="L339" s="2"/>
      <c r="M339" s="2">
        <f>349505+206156+110000+461433+873323-1</f>
        <v>2000416</v>
      </c>
    </row>
    <row r="340" spans="1:13" ht="12">
      <c r="A340" s="93">
        <f t="shared" si="9"/>
        <v>4</v>
      </c>
      <c r="C340" s="13" t="s">
        <v>231</v>
      </c>
      <c r="E340" s="93">
        <f t="shared" si="10"/>
        <v>4</v>
      </c>
      <c r="F340" s="13"/>
      <c r="G340" s="13"/>
      <c r="H340" s="2">
        <v>0</v>
      </c>
      <c r="I340" s="2"/>
      <c r="J340" s="2"/>
      <c r="K340" s="2"/>
      <c r="L340" s="2"/>
      <c r="M340" s="2"/>
    </row>
    <row r="341" spans="1:13" ht="12">
      <c r="A341" s="93">
        <f t="shared" si="9"/>
        <v>5</v>
      </c>
      <c r="C341" s="13" t="s">
        <v>271</v>
      </c>
      <c r="E341" s="93">
        <f t="shared" si="10"/>
        <v>5</v>
      </c>
      <c r="F341" s="13"/>
      <c r="G341" s="13"/>
      <c r="H341" s="2">
        <v>0</v>
      </c>
      <c r="I341" s="2"/>
      <c r="J341" s="2"/>
      <c r="K341" s="2"/>
      <c r="L341" s="2"/>
      <c r="M341" s="2"/>
    </row>
    <row r="342" spans="1:13" ht="12">
      <c r="A342" s="93">
        <f t="shared" si="9"/>
        <v>6</v>
      </c>
      <c r="C342" s="13" t="s">
        <v>272</v>
      </c>
      <c r="E342" s="93">
        <f t="shared" si="10"/>
        <v>6</v>
      </c>
      <c r="F342" s="13"/>
      <c r="G342" s="13"/>
      <c r="H342" s="2"/>
      <c r="I342" s="2"/>
      <c r="J342" s="2"/>
      <c r="K342" s="2"/>
      <c r="L342" s="2"/>
      <c r="M342" s="2"/>
    </row>
    <row r="343" spans="1:13" ht="12">
      <c r="A343" s="93">
        <f t="shared" si="9"/>
        <v>7</v>
      </c>
      <c r="C343" s="13" t="s">
        <v>273</v>
      </c>
      <c r="E343" s="93">
        <f t="shared" si="10"/>
        <v>7</v>
      </c>
      <c r="F343" s="13"/>
      <c r="G343" s="13"/>
      <c r="H343" s="2">
        <v>0</v>
      </c>
      <c r="I343" s="2"/>
      <c r="J343" s="2" t="s">
        <v>0</v>
      </c>
      <c r="K343" s="2"/>
      <c r="L343" s="2"/>
      <c r="M343" s="2"/>
    </row>
    <row r="344" spans="1:13" ht="12">
      <c r="A344" s="93">
        <f t="shared" si="9"/>
        <v>8</v>
      </c>
      <c r="C344" s="13" t="s">
        <v>274</v>
      </c>
      <c r="E344" s="93">
        <f t="shared" si="10"/>
        <v>8</v>
      </c>
      <c r="F344" s="13"/>
      <c r="G344" s="13"/>
      <c r="H344" s="2">
        <v>0</v>
      </c>
      <c r="I344" s="2"/>
      <c r="J344" s="2"/>
      <c r="K344" s="2"/>
      <c r="L344" s="2"/>
      <c r="M344" s="2"/>
    </row>
    <row r="345" spans="1:13" ht="12">
      <c r="A345" s="93">
        <v>9</v>
      </c>
      <c r="C345" s="13" t="s">
        <v>230</v>
      </c>
      <c r="E345" s="93">
        <v>9</v>
      </c>
      <c r="F345" s="90"/>
      <c r="G345" s="90"/>
      <c r="H345" s="146">
        <f>40840+25649</f>
        <v>66489</v>
      </c>
      <c r="I345" s="22"/>
      <c r="J345" s="203">
        <f>202857-1129</f>
        <v>201728</v>
      </c>
      <c r="K345" s="90"/>
      <c r="L345" s="22"/>
      <c r="M345" s="175">
        <f>288595</f>
        <v>288595</v>
      </c>
    </row>
    <row r="346" spans="1:13" ht="12">
      <c r="A346" s="93"/>
      <c r="C346" s="13"/>
      <c r="E346" s="93"/>
      <c r="F346" s="90" t="s">
        <v>1</v>
      </c>
      <c r="G346" s="90"/>
      <c r="H346" s="90"/>
      <c r="I346" s="22" t="s">
        <v>1</v>
      </c>
      <c r="J346" s="23"/>
      <c r="K346" s="90"/>
      <c r="L346" s="22"/>
      <c r="M346" s="23"/>
    </row>
    <row r="347" spans="1:13" ht="12">
      <c r="A347" s="93">
        <v>10</v>
      </c>
      <c r="C347" s="7" t="s">
        <v>77</v>
      </c>
      <c r="E347" s="93">
        <v>10</v>
      </c>
      <c r="F347" s="13"/>
      <c r="G347" s="13"/>
      <c r="H347" s="2">
        <f>SUM(H338:H345)</f>
        <v>1766871</v>
      </c>
      <c r="I347" s="2"/>
      <c r="J347" s="2">
        <f>SUM(J338:J345)</f>
        <v>2286972</v>
      </c>
      <c r="K347" s="2"/>
      <c r="L347" s="2"/>
      <c r="M347" s="2">
        <f>SUM(M338:M345)</f>
        <v>3186448</v>
      </c>
    </row>
    <row r="348" spans="1:13" ht="12">
      <c r="A348" s="93"/>
      <c r="C348" s="13"/>
      <c r="E348" s="93"/>
      <c r="F348" s="13"/>
      <c r="G348" s="13"/>
      <c r="H348" s="2"/>
      <c r="I348" s="2"/>
      <c r="J348" s="2"/>
      <c r="K348" s="2"/>
      <c r="L348" s="2"/>
      <c r="M348" s="2"/>
    </row>
    <row r="349" spans="1:13" ht="12">
      <c r="A349" s="93">
        <v>11</v>
      </c>
      <c r="C349" s="13" t="s">
        <v>555</v>
      </c>
      <c r="E349" s="93">
        <v>11</v>
      </c>
      <c r="F349" s="13"/>
      <c r="G349" s="13"/>
      <c r="H349" s="2">
        <v>4510</v>
      </c>
      <c r="I349" s="2"/>
      <c r="J349" s="2">
        <v>113471</v>
      </c>
      <c r="K349" s="2"/>
      <c r="L349" s="2"/>
      <c r="M349" s="2">
        <v>92715</v>
      </c>
    </row>
    <row r="350" spans="1:13" ht="12">
      <c r="A350" s="93">
        <v>12</v>
      </c>
      <c r="C350" s="13" t="s">
        <v>81</v>
      </c>
      <c r="E350" s="93">
        <v>12</v>
      </c>
      <c r="F350" s="13"/>
      <c r="G350" s="13"/>
      <c r="H350" s="2">
        <v>0</v>
      </c>
      <c r="I350" s="2"/>
      <c r="J350" s="2"/>
      <c r="K350" s="2"/>
      <c r="L350" s="2"/>
      <c r="M350" s="2">
        <v>0</v>
      </c>
    </row>
    <row r="351" spans="1:13" ht="12">
      <c r="A351" s="93">
        <v>13</v>
      </c>
      <c r="C351" s="13" t="s">
        <v>275</v>
      </c>
      <c r="E351" s="93">
        <v>13</v>
      </c>
      <c r="F351" s="13"/>
      <c r="G351" s="13"/>
      <c r="H351" s="2">
        <v>0</v>
      </c>
      <c r="I351" s="2"/>
      <c r="J351" s="2"/>
      <c r="K351" s="2"/>
      <c r="L351" s="2"/>
      <c r="M351" s="2"/>
    </row>
    <row r="352" spans="1:13" ht="12">
      <c r="A352" s="93"/>
      <c r="C352" s="13"/>
      <c r="E352" s="93"/>
      <c r="F352" s="13"/>
      <c r="G352" s="13"/>
      <c r="H352" s="2"/>
      <c r="I352" s="2"/>
      <c r="J352" s="2"/>
      <c r="K352" s="2"/>
      <c r="L352" s="2"/>
      <c r="M352" s="2"/>
    </row>
    <row r="353" spans="3:13" ht="12">
      <c r="C353" s="13"/>
      <c r="F353" s="90" t="s">
        <v>1</v>
      </c>
      <c r="G353" s="90"/>
      <c r="H353" s="90"/>
      <c r="I353" s="22" t="s">
        <v>1</v>
      </c>
      <c r="J353" s="23"/>
      <c r="K353" s="90"/>
      <c r="L353" s="22"/>
      <c r="M353" s="23"/>
    </row>
    <row r="354" spans="1:13" ht="12">
      <c r="A354" s="93">
        <v>14</v>
      </c>
      <c r="C354" s="7" t="s">
        <v>105</v>
      </c>
      <c r="E354" s="93">
        <v>14</v>
      </c>
      <c r="H354" s="65">
        <f>SUM(H349:H353)</f>
        <v>4510</v>
      </c>
      <c r="I354" s="62"/>
      <c r="J354" s="65">
        <f>SUM(J349:J353)</f>
        <v>113471</v>
      </c>
      <c r="K354" s="65"/>
      <c r="L354" s="62"/>
      <c r="M354" s="65">
        <f>SUM(M349:M353)</f>
        <v>92715</v>
      </c>
    </row>
    <row r="355" spans="1:13" ht="12">
      <c r="A355" s="93"/>
      <c r="C355" s="13"/>
      <c r="E355" s="93"/>
      <c r="F355" s="90" t="s">
        <v>1</v>
      </c>
      <c r="G355" s="90"/>
      <c r="H355" s="90"/>
      <c r="I355" s="22" t="s">
        <v>1</v>
      </c>
      <c r="J355" s="23"/>
      <c r="K355" s="90"/>
      <c r="L355" s="22"/>
      <c r="M355" s="23"/>
    </row>
    <row r="356" spans="1:13" ht="12">
      <c r="A356" s="93">
        <v>15</v>
      </c>
      <c r="C356" s="12" t="s">
        <v>85</v>
      </c>
      <c r="E356" s="93">
        <v>15</v>
      </c>
      <c r="H356" s="65">
        <f>SUM(H347,H354)</f>
        <v>1771381</v>
      </c>
      <c r="I356" s="62"/>
      <c r="J356" s="65">
        <f>SUM(J347,J354)</f>
        <v>2400443</v>
      </c>
      <c r="K356" s="65"/>
      <c r="L356" s="62"/>
      <c r="M356" s="65">
        <f>SUM(M347,M354)</f>
        <v>3279163</v>
      </c>
    </row>
    <row r="357" spans="1:13" ht="12">
      <c r="A357" s="93"/>
      <c r="C357" s="12"/>
      <c r="E357" s="93"/>
      <c r="H357" s="65"/>
      <c r="I357" s="62"/>
      <c r="J357" s="65"/>
      <c r="K357" s="65"/>
      <c r="L357" s="62"/>
      <c r="M357" s="65"/>
    </row>
    <row r="358" spans="1:12" ht="12">
      <c r="A358" s="93">
        <v>16</v>
      </c>
      <c r="C358" s="12" t="s">
        <v>189</v>
      </c>
      <c r="E358" s="93">
        <v>16</v>
      </c>
      <c r="H358" s="65"/>
      <c r="I358" s="62"/>
      <c r="J358" s="62"/>
      <c r="K358" s="65"/>
      <c r="L358" s="62"/>
    </row>
    <row r="359" spans="1:13" ht="12">
      <c r="A359" s="93">
        <v>17</v>
      </c>
      <c r="C359" s="7" t="s">
        <v>190</v>
      </c>
      <c r="E359" s="93">
        <v>17</v>
      </c>
      <c r="H359" s="65">
        <v>1808400</v>
      </c>
      <c r="I359" s="62"/>
      <c r="J359" s="62">
        <v>2672495</v>
      </c>
      <c r="K359" s="65"/>
      <c r="L359" s="62"/>
      <c r="M359" s="62">
        <v>0</v>
      </c>
    </row>
    <row r="360" spans="1:13" ht="12">
      <c r="A360" s="93">
        <v>18</v>
      </c>
      <c r="E360" s="93">
        <v>18</v>
      </c>
      <c r="H360" s="65"/>
      <c r="I360" s="65"/>
      <c r="J360" s="65"/>
      <c r="K360" s="65"/>
      <c r="L360" s="65"/>
      <c r="M360" s="65"/>
    </row>
    <row r="361" spans="1:13" ht="12">
      <c r="A361" s="93">
        <v>19</v>
      </c>
      <c r="E361" s="93">
        <v>19</v>
      </c>
      <c r="H361" s="65"/>
      <c r="I361" s="65"/>
      <c r="J361" s="65"/>
      <c r="K361" s="65"/>
      <c r="L361" s="65"/>
      <c r="M361" s="65"/>
    </row>
    <row r="362" spans="1:13" ht="12">
      <c r="A362" s="93"/>
      <c r="C362" s="94"/>
      <c r="E362" s="93"/>
      <c r="F362" s="90" t="s">
        <v>1</v>
      </c>
      <c r="G362" s="90"/>
      <c r="H362" s="90"/>
      <c r="I362" s="22" t="s">
        <v>1</v>
      </c>
      <c r="J362" s="23"/>
      <c r="K362" s="90"/>
      <c r="L362" s="22"/>
      <c r="M362" s="23"/>
    </row>
    <row r="363" spans="1:13" ht="12">
      <c r="A363" s="93">
        <v>20</v>
      </c>
      <c r="C363" s="94" t="s">
        <v>86</v>
      </c>
      <c r="E363" s="93">
        <v>20</v>
      </c>
      <c r="H363" s="65">
        <f>SUM(H356:H361)</f>
        <v>3579781</v>
      </c>
      <c r="I363" s="62"/>
      <c r="J363" s="65">
        <f>SUM(J356:J361)</f>
        <v>5072938</v>
      </c>
      <c r="K363" s="65"/>
      <c r="L363" s="62"/>
      <c r="M363" s="65">
        <f>SUM(M356:M361)</f>
        <v>3279163</v>
      </c>
    </row>
    <row r="364" spans="1:13" ht="12">
      <c r="A364" s="96"/>
      <c r="C364" s="12"/>
      <c r="E364" s="50"/>
      <c r="F364" s="90" t="s">
        <v>1</v>
      </c>
      <c r="G364" s="90"/>
      <c r="H364" s="90"/>
      <c r="I364" s="22" t="s">
        <v>1</v>
      </c>
      <c r="J364" s="23" t="s">
        <v>1</v>
      </c>
      <c r="K364" s="90" t="s">
        <v>1</v>
      </c>
      <c r="L364" s="22" t="s">
        <v>1</v>
      </c>
      <c r="M364" s="23" t="s">
        <v>1</v>
      </c>
    </row>
    <row r="365" spans="6:13" ht="12">
      <c r="F365" s="90"/>
      <c r="G365" s="90"/>
      <c r="H365" s="90"/>
      <c r="I365" s="22"/>
      <c r="J365" s="55"/>
      <c r="K365" s="90"/>
      <c r="L365" s="22"/>
      <c r="M365" s="55"/>
    </row>
    <row r="366" ht="12">
      <c r="A366" s="12"/>
    </row>
    <row r="367" spans="1:13" ht="12">
      <c r="A367" s="19" t="str">
        <f>$A$36</f>
        <v>Institution No.:  GFC</v>
      </c>
      <c r="B367" s="46"/>
      <c r="C367" s="46"/>
      <c r="D367" s="46"/>
      <c r="E367" s="51"/>
      <c r="F367" s="46"/>
      <c r="G367" s="46"/>
      <c r="H367" s="46"/>
      <c r="I367" s="52"/>
      <c r="J367" s="53"/>
      <c r="K367" s="46"/>
      <c r="L367" s="52"/>
      <c r="M367" s="18" t="s">
        <v>221</v>
      </c>
    </row>
    <row r="368" spans="4:13" s="46" customFormat="1" ht="12">
      <c r="D368" s="60" t="s">
        <v>283</v>
      </c>
      <c r="E368" s="51"/>
      <c r="I368" s="52"/>
      <c r="J368" s="53"/>
      <c r="L368" s="52"/>
      <c r="M368" s="53"/>
    </row>
    <row r="369" spans="1:13" s="46" customFormat="1" ht="12">
      <c r="A369" s="19" t="s">
        <v>664</v>
      </c>
      <c r="B369" s="7"/>
      <c r="C369" s="7" t="s">
        <v>540</v>
      </c>
      <c r="D369" s="7"/>
      <c r="E369" s="7"/>
      <c r="F369" s="92"/>
      <c r="G369" s="92"/>
      <c r="H369" s="92"/>
      <c r="I369" s="85"/>
      <c r="J369" s="55"/>
      <c r="K369" s="7"/>
      <c r="L369" s="17"/>
      <c r="M369" s="20" t="str">
        <f>$M$3</f>
        <v>Date: 10/1/2008</v>
      </c>
    </row>
    <row r="370" spans="1:13" ht="12">
      <c r="A370" s="21" t="s">
        <v>1</v>
      </c>
      <c r="B370" s="21" t="s">
        <v>1</v>
      </c>
      <c r="C370" s="21" t="s">
        <v>1</v>
      </c>
      <c r="D370" s="21" t="s">
        <v>1</v>
      </c>
      <c r="E370" s="21" t="s">
        <v>1</v>
      </c>
      <c r="F370" s="21" t="s">
        <v>1</v>
      </c>
      <c r="G370" s="21"/>
      <c r="H370" s="21"/>
      <c r="I370" s="22" t="s">
        <v>1</v>
      </c>
      <c r="J370" s="23" t="s">
        <v>1</v>
      </c>
      <c r="K370" s="21" t="s">
        <v>1</v>
      </c>
      <c r="L370" s="22" t="s">
        <v>1</v>
      </c>
      <c r="M370" s="23" t="s">
        <v>1</v>
      </c>
    </row>
    <row r="371" spans="1:13" ht="12">
      <c r="A371" s="24" t="s">
        <v>2</v>
      </c>
      <c r="E371" s="24" t="s">
        <v>2</v>
      </c>
      <c r="H371" s="25" t="s">
        <v>249</v>
      </c>
      <c r="I371" s="26"/>
      <c r="J371" s="27" t="s">
        <v>251</v>
      </c>
      <c r="K371" s="25"/>
      <c r="L371" s="26"/>
      <c r="M371" s="27" t="s">
        <v>267</v>
      </c>
    </row>
    <row r="372" spans="1:13" ht="12">
      <c r="A372" s="24" t="s">
        <v>4</v>
      </c>
      <c r="C372" s="28" t="s">
        <v>20</v>
      </c>
      <c r="E372" s="24" t="s">
        <v>4</v>
      </c>
      <c r="H372" s="27" t="s">
        <v>7</v>
      </c>
      <c r="I372" s="17"/>
      <c r="J372" s="27" t="s">
        <v>7</v>
      </c>
      <c r="L372" s="17"/>
      <c r="M372" s="27" t="s">
        <v>8</v>
      </c>
    </row>
    <row r="373" spans="1:13" ht="12">
      <c r="A373" s="21" t="s">
        <v>1</v>
      </c>
      <c r="B373" s="21" t="s">
        <v>1</v>
      </c>
      <c r="C373" s="21" t="s">
        <v>1</v>
      </c>
      <c r="D373" s="21" t="s">
        <v>1</v>
      </c>
      <c r="E373" s="21" t="s">
        <v>1</v>
      </c>
      <c r="F373" s="21" t="s">
        <v>1</v>
      </c>
      <c r="G373" s="21"/>
      <c r="H373" s="21"/>
      <c r="I373" s="22" t="s">
        <v>1</v>
      </c>
      <c r="J373" s="23" t="s">
        <v>1</v>
      </c>
      <c r="K373" s="21" t="s">
        <v>1</v>
      </c>
      <c r="L373" s="22" t="s">
        <v>1</v>
      </c>
      <c r="M373" s="23" t="s">
        <v>1</v>
      </c>
    </row>
    <row r="374" spans="1:13" ht="12">
      <c r="A374" s="93">
        <v>1</v>
      </c>
      <c r="C374" s="12" t="s">
        <v>284</v>
      </c>
      <c r="E374" s="93">
        <v>1</v>
      </c>
      <c r="H374" s="176"/>
      <c r="I374" s="62"/>
      <c r="J374" s="62"/>
      <c r="K374" s="65"/>
      <c r="L374" s="62"/>
      <c r="M374" s="62"/>
    </row>
    <row r="375" spans="1:13" ht="12">
      <c r="A375" s="93"/>
      <c r="C375" s="12"/>
      <c r="E375" s="93"/>
      <c r="H375" s="176"/>
      <c r="I375" s="62"/>
      <c r="J375" s="62"/>
      <c r="K375" s="65"/>
      <c r="L375" s="62"/>
      <c r="M375" s="62"/>
    </row>
    <row r="376" spans="1:13" ht="12">
      <c r="A376" s="93">
        <f>(A374+1)</f>
        <v>2</v>
      </c>
      <c r="C376" s="13" t="s">
        <v>285</v>
      </c>
      <c r="E376" s="93">
        <f>(E374+1)</f>
        <v>2</v>
      </c>
      <c r="F376" s="13"/>
      <c r="G376" s="13"/>
      <c r="H376" s="177"/>
      <c r="I376" s="2"/>
      <c r="J376" s="166">
        <v>0</v>
      </c>
      <c r="K376" s="2"/>
      <c r="L376" s="2"/>
      <c r="M376" s="2">
        <v>0</v>
      </c>
    </row>
    <row r="377" spans="1:13" ht="12">
      <c r="A377" s="93">
        <f>(A376+1)</f>
        <v>3</v>
      </c>
      <c r="C377" s="13" t="s">
        <v>222</v>
      </c>
      <c r="E377" s="93">
        <f>(E376+1)</f>
        <v>3</v>
      </c>
      <c r="F377" s="13"/>
      <c r="G377" s="13"/>
      <c r="H377" s="177">
        <v>0</v>
      </c>
      <c r="I377" s="2"/>
      <c r="J377" s="166">
        <v>0</v>
      </c>
      <c r="K377" s="2"/>
      <c r="L377" s="2"/>
      <c r="M377" s="2">
        <v>0</v>
      </c>
    </row>
    <row r="378" spans="1:13" ht="12">
      <c r="A378" s="93">
        <f>(A377+1)</f>
        <v>4</v>
      </c>
      <c r="C378" s="13" t="s">
        <v>223</v>
      </c>
      <c r="E378" s="93">
        <f>(E377+1)</f>
        <v>4</v>
      </c>
      <c r="F378" s="13"/>
      <c r="G378" s="13"/>
      <c r="H378" s="177">
        <v>0</v>
      </c>
      <c r="I378" s="2"/>
      <c r="J378" s="166"/>
      <c r="K378" s="2"/>
      <c r="L378" s="2"/>
      <c r="M378" s="2"/>
    </row>
    <row r="379" spans="1:13" ht="12">
      <c r="A379" s="93"/>
      <c r="C379" s="13"/>
      <c r="E379" s="93"/>
      <c r="F379" s="90" t="s">
        <v>1</v>
      </c>
      <c r="G379" s="90"/>
      <c r="H379" s="178"/>
      <c r="I379" s="22" t="s">
        <v>1</v>
      </c>
      <c r="J379" s="23"/>
      <c r="K379" s="90"/>
      <c r="L379" s="22"/>
      <c r="M379" s="23"/>
    </row>
    <row r="380" spans="1:13" ht="12">
      <c r="A380" s="93">
        <v>9</v>
      </c>
      <c r="C380" s="7" t="s">
        <v>202</v>
      </c>
      <c r="E380" s="93">
        <v>9</v>
      </c>
      <c r="F380" s="13"/>
      <c r="G380" s="13"/>
      <c r="H380" s="177">
        <f>SUM(H376:H377)</f>
        <v>0</v>
      </c>
      <c r="I380" s="2"/>
      <c r="J380" s="166">
        <f>SUM(J376:J377)</f>
        <v>0</v>
      </c>
      <c r="K380" s="2"/>
      <c r="L380" s="2"/>
      <c r="M380" s="2">
        <f>SUM(M376:M377)</f>
        <v>0</v>
      </c>
    </row>
    <row r="381" spans="1:13" ht="12">
      <c r="A381" s="93"/>
      <c r="C381" s="13"/>
      <c r="E381" s="93"/>
      <c r="F381" s="13"/>
      <c r="G381" s="13"/>
      <c r="H381" s="2"/>
      <c r="I381" s="2"/>
      <c r="J381" s="2"/>
      <c r="K381" s="2"/>
      <c r="L381" s="2"/>
      <c r="M381" s="2"/>
    </row>
    <row r="382" spans="1:13" ht="12">
      <c r="A382" s="93"/>
      <c r="C382" s="13"/>
      <c r="E382" s="93"/>
      <c r="F382" s="13"/>
      <c r="G382" s="13"/>
      <c r="H382" s="2"/>
      <c r="I382" s="2"/>
      <c r="J382" s="2"/>
      <c r="K382" s="2"/>
      <c r="L382" s="2"/>
      <c r="M382" s="2"/>
    </row>
    <row r="383" spans="1:13" ht="12">
      <c r="A383" s="93"/>
      <c r="C383" s="13"/>
      <c r="E383" s="93"/>
      <c r="F383" s="13"/>
      <c r="G383" s="13"/>
      <c r="H383" s="2"/>
      <c r="I383" s="2"/>
      <c r="J383" s="2"/>
      <c r="K383" s="2"/>
      <c r="L383" s="2"/>
      <c r="M383" s="2"/>
    </row>
    <row r="384" spans="1:13" ht="12">
      <c r="A384" s="93"/>
      <c r="C384" s="13"/>
      <c r="E384" s="93"/>
      <c r="F384" s="13"/>
      <c r="G384" s="13"/>
      <c r="H384" s="2"/>
      <c r="I384" s="2"/>
      <c r="J384" s="2"/>
      <c r="K384" s="2"/>
      <c r="L384" s="2"/>
      <c r="M384" s="2"/>
    </row>
    <row r="385" spans="1:13" ht="12">
      <c r="A385" s="93"/>
      <c r="C385" s="13"/>
      <c r="E385" s="93"/>
      <c r="F385" s="13"/>
      <c r="G385" s="13"/>
      <c r="H385" s="2"/>
      <c r="I385" s="2"/>
      <c r="J385" s="2"/>
      <c r="K385" s="2"/>
      <c r="L385" s="2"/>
      <c r="M385" s="2"/>
    </row>
    <row r="386" spans="3:13" ht="12">
      <c r="C386" s="13"/>
      <c r="F386" s="90"/>
      <c r="G386" s="90"/>
      <c r="H386" s="90"/>
      <c r="I386" s="22"/>
      <c r="J386" s="23"/>
      <c r="K386" s="90"/>
      <c r="L386" s="22"/>
      <c r="M386" s="23"/>
    </row>
    <row r="387" spans="1:13" ht="12">
      <c r="A387" s="93"/>
      <c r="E387" s="93"/>
      <c r="H387" s="65"/>
      <c r="I387" s="62"/>
      <c r="J387" s="65"/>
      <c r="K387" s="65"/>
      <c r="L387" s="62"/>
      <c r="M387" s="65"/>
    </row>
    <row r="388" spans="1:13" ht="12">
      <c r="A388" s="93"/>
      <c r="C388" s="13"/>
      <c r="E388" s="93"/>
      <c r="F388" s="90"/>
      <c r="G388" s="90"/>
      <c r="H388" s="90"/>
      <c r="I388" s="22"/>
      <c r="J388" s="23"/>
      <c r="K388" s="90"/>
      <c r="L388" s="22"/>
      <c r="M388" s="23"/>
    </row>
    <row r="389" spans="1:13" ht="12">
      <c r="A389" s="93"/>
      <c r="C389" s="12"/>
      <c r="E389" s="93"/>
      <c r="H389" s="65"/>
      <c r="I389" s="62"/>
      <c r="J389" s="65"/>
      <c r="K389" s="65"/>
      <c r="L389" s="62"/>
      <c r="M389" s="65"/>
    </row>
    <row r="390" spans="1:13" ht="12">
      <c r="A390" s="93"/>
      <c r="C390" s="12"/>
      <c r="E390" s="93"/>
      <c r="H390" s="65"/>
      <c r="I390" s="62"/>
      <c r="J390" s="65"/>
      <c r="K390" s="65"/>
      <c r="L390" s="62"/>
      <c r="M390" s="65"/>
    </row>
    <row r="391" spans="1:13" ht="12">
      <c r="A391" s="93"/>
      <c r="C391" s="12"/>
      <c r="E391" s="93"/>
      <c r="H391" s="65"/>
      <c r="I391" s="62"/>
      <c r="J391" s="62"/>
      <c r="K391" s="65"/>
      <c r="L391" s="62"/>
      <c r="M391" s="62"/>
    </row>
    <row r="392" spans="1:13" ht="12">
      <c r="A392" s="93"/>
      <c r="E392" s="93"/>
      <c r="H392" s="65"/>
      <c r="I392" s="62"/>
      <c r="J392" s="62"/>
      <c r="K392" s="65"/>
      <c r="L392" s="62"/>
      <c r="M392" s="62"/>
    </row>
    <row r="393" spans="1:13" ht="12">
      <c r="A393" s="93"/>
      <c r="E393" s="93"/>
      <c r="H393" s="65"/>
      <c r="I393" s="65"/>
      <c r="J393" s="65"/>
      <c r="K393" s="65"/>
      <c r="L393" s="65"/>
      <c r="M393" s="65"/>
    </row>
    <row r="394" spans="1:13" ht="12">
      <c r="A394" s="93"/>
      <c r="E394" s="93"/>
      <c r="H394" s="65"/>
      <c r="I394" s="65"/>
      <c r="J394" s="65"/>
      <c r="K394" s="65"/>
      <c r="L394" s="65"/>
      <c r="M394" s="65"/>
    </row>
    <row r="395" spans="1:13" ht="12">
      <c r="A395" s="93"/>
      <c r="C395" s="94"/>
      <c r="E395" s="93"/>
      <c r="F395" s="90"/>
      <c r="G395" s="90"/>
      <c r="H395" s="90"/>
      <c r="I395" s="22"/>
      <c r="J395" s="23"/>
      <c r="K395" s="90"/>
      <c r="L395" s="22"/>
      <c r="M395" s="23"/>
    </row>
    <row r="396" spans="1:13" ht="12">
      <c r="A396" s="93"/>
      <c r="C396" s="94"/>
      <c r="E396" s="93"/>
      <c r="H396" s="65"/>
      <c r="I396" s="62"/>
      <c r="J396" s="65"/>
      <c r="K396" s="65"/>
      <c r="L396" s="62"/>
      <c r="M396" s="65"/>
    </row>
    <row r="397" spans="1:13" ht="12">
      <c r="A397" s="96"/>
      <c r="C397" s="12"/>
      <c r="E397" s="50"/>
      <c r="F397" s="90"/>
      <c r="G397" s="90"/>
      <c r="H397" s="90"/>
      <c r="I397" s="22"/>
      <c r="J397" s="23"/>
      <c r="K397" s="90"/>
      <c r="L397" s="22"/>
      <c r="M397" s="23"/>
    </row>
    <row r="399" spans="1:13" ht="12">
      <c r="A399" s="19" t="str">
        <f>$A$36</f>
        <v>Institution No.:  GFC</v>
      </c>
      <c r="B399" s="46"/>
      <c r="C399" s="46"/>
      <c r="D399" s="46"/>
      <c r="E399" s="51"/>
      <c r="F399" s="46"/>
      <c r="G399" s="46"/>
      <c r="H399" s="46"/>
      <c r="I399" s="52"/>
      <c r="J399" s="53"/>
      <c r="K399" s="46"/>
      <c r="L399" s="52"/>
      <c r="M399" s="18" t="s">
        <v>82</v>
      </c>
    </row>
    <row r="400" spans="1:13" s="46" customFormat="1" ht="12">
      <c r="A400" s="262" t="s">
        <v>216</v>
      </c>
      <c r="B400" s="262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</row>
    <row r="401" spans="1:13" ht="12.75" customHeight="1">
      <c r="A401" s="19" t="s">
        <v>664</v>
      </c>
      <c r="C401" s="7" t="s">
        <v>540</v>
      </c>
      <c r="J401" s="55"/>
      <c r="L401" s="17"/>
      <c r="M401" s="20" t="str">
        <f>$M$3</f>
        <v>Date: 10/1/2008</v>
      </c>
    </row>
    <row r="402" spans="1:13" ht="12">
      <c r="A402" s="21" t="s">
        <v>1</v>
      </c>
      <c r="B402" s="21" t="s">
        <v>1</v>
      </c>
      <c r="C402" s="21" t="s">
        <v>1</v>
      </c>
      <c r="D402" s="21" t="s">
        <v>1</v>
      </c>
      <c r="E402" s="21" t="s">
        <v>1</v>
      </c>
      <c r="F402" s="21" t="s">
        <v>1</v>
      </c>
      <c r="G402" s="21"/>
      <c r="H402" s="21"/>
      <c r="I402" s="22" t="s">
        <v>1</v>
      </c>
      <c r="J402" s="23" t="s">
        <v>1</v>
      </c>
      <c r="K402" s="21" t="s">
        <v>1</v>
      </c>
      <c r="L402" s="22" t="s">
        <v>1</v>
      </c>
      <c r="M402" s="23" t="s">
        <v>1</v>
      </c>
    </row>
    <row r="403" spans="1:13" ht="12">
      <c r="A403" s="24" t="s">
        <v>2</v>
      </c>
      <c r="E403" s="24" t="s">
        <v>2</v>
      </c>
      <c r="F403" s="25"/>
      <c r="G403" s="25"/>
      <c r="H403" s="25" t="s">
        <v>249</v>
      </c>
      <c r="I403" s="26"/>
      <c r="J403" s="27" t="s">
        <v>251</v>
      </c>
      <c r="K403" s="25"/>
      <c r="L403" s="26"/>
      <c r="M403" s="27" t="s">
        <v>260</v>
      </c>
    </row>
    <row r="404" spans="1:13" ht="12">
      <c r="A404" s="24" t="s">
        <v>4</v>
      </c>
      <c r="C404" s="28" t="s">
        <v>20</v>
      </c>
      <c r="E404" s="24" t="s">
        <v>4</v>
      </c>
      <c r="F404" s="25"/>
      <c r="G404" s="25"/>
      <c r="H404" s="27" t="s">
        <v>7</v>
      </c>
      <c r="I404" s="26"/>
      <c r="J404" s="27" t="s">
        <v>7</v>
      </c>
      <c r="K404" s="25"/>
      <c r="L404" s="26"/>
      <c r="M404" s="27" t="s">
        <v>8</v>
      </c>
    </row>
    <row r="405" spans="1:13" ht="12">
      <c r="A405" s="21" t="s">
        <v>1</v>
      </c>
      <c r="B405" s="21" t="s">
        <v>1</v>
      </c>
      <c r="C405" s="21" t="s">
        <v>1</v>
      </c>
      <c r="D405" s="21" t="s">
        <v>1</v>
      </c>
      <c r="E405" s="21" t="s">
        <v>1</v>
      </c>
      <c r="F405" s="21" t="s">
        <v>1</v>
      </c>
      <c r="G405" s="21"/>
      <c r="H405" s="21"/>
      <c r="I405" s="22" t="s">
        <v>1</v>
      </c>
      <c r="J405" s="23" t="s">
        <v>1</v>
      </c>
      <c r="K405" s="21" t="s">
        <v>1</v>
      </c>
      <c r="L405" s="22" t="s">
        <v>1</v>
      </c>
      <c r="M405" s="23" t="s">
        <v>1</v>
      </c>
    </row>
    <row r="406" spans="1:13" ht="12">
      <c r="A406" s="97">
        <v>1</v>
      </c>
      <c r="C406" s="12"/>
      <c r="E406" s="97"/>
      <c r="F406" s="13"/>
      <c r="G406" s="13"/>
      <c r="H406" s="13"/>
      <c r="I406" s="14"/>
      <c r="K406" s="13"/>
      <c r="L406" s="14"/>
      <c r="M406" s="15"/>
    </row>
    <row r="407" spans="1:13" ht="12">
      <c r="A407" s="97">
        <f aca="true" t="shared" si="11" ref="A407:A429">(A406+1)</f>
        <v>2</v>
      </c>
      <c r="E407" s="97"/>
      <c r="F407" s="13"/>
      <c r="G407" s="13"/>
      <c r="H407" s="98"/>
      <c r="I407" s="98"/>
      <c r="J407" s="98"/>
      <c r="K407" s="98"/>
      <c r="L407" s="98"/>
      <c r="M407" s="98"/>
    </row>
    <row r="408" spans="1:12" ht="12">
      <c r="A408" s="97">
        <f t="shared" si="11"/>
        <v>3</v>
      </c>
      <c r="E408" s="97"/>
      <c r="F408" s="13"/>
      <c r="G408" s="13"/>
      <c r="I408" s="98"/>
      <c r="J408" s="98"/>
      <c r="K408" s="98"/>
      <c r="L408" s="98"/>
    </row>
    <row r="409" spans="1:13" ht="12">
      <c r="A409" s="97">
        <f t="shared" si="11"/>
        <v>4</v>
      </c>
      <c r="E409" s="97"/>
      <c r="F409" s="13"/>
      <c r="G409" s="13"/>
      <c r="H409" s="98"/>
      <c r="I409" s="98"/>
      <c r="J409" s="98"/>
      <c r="K409" s="98"/>
      <c r="L409" s="98"/>
      <c r="M409" s="98"/>
    </row>
    <row r="410" spans="1:13" ht="12">
      <c r="A410" s="97">
        <f>(A409+1)</f>
        <v>5</v>
      </c>
      <c r="C410" s="13"/>
      <c r="E410" s="97"/>
      <c r="F410" s="13"/>
      <c r="G410" s="13"/>
      <c r="H410" s="98"/>
      <c r="I410" s="98"/>
      <c r="J410" s="98"/>
      <c r="K410" s="98"/>
      <c r="L410" s="98"/>
      <c r="M410" s="98"/>
    </row>
    <row r="411" spans="1:13" ht="12">
      <c r="A411" s="97">
        <f t="shared" si="11"/>
        <v>6</v>
      </c>
      <c r="C411" s="13"/>
      <c r="E411" s="97">
        <f aca="true" t="shared" si="12" ref="E411:E429">(E410+1)</f>
        <v>1</v>
      </c>
      <c r="F411" s="13"/>
      <c r="G411" s="13"/>
      <c r="H411" s="98"/>
      <c r="I411" s="98"/>
      <c r="J411" s="98"/>
      <c r="K411" s="98"/>
      <c r="L411" s="98"/>
      <c r="M411" s="98"/>
    </row>
    <row r="412" spans="1:13" ht="12">
      <c r="A412" s="97">
        <f>(A411+1)</f>
        <v>7</v>
      </c>
      <c r="C412" s="12"/>
      <c r="E412" s="97">
        <f>(E411+1)</f>
        <v>2</v>
      </c>
      <c r="F412" s="13"/>
      <c r="G412" s="13"/>
      <c r="H412" s="98"/>
      <c r="I412" s="98"/>
      <c r="J412" s="98"/>
      <c r="K412" s="98"/>
      <c r="L412" s="98"/>
      <c r="M412" s="98"/>
    </row>
    <row r="413" spans="1:13" ht="12">
      <c r="A413" s="97">
        <f>(A412+1)</f>
        <v>8</v>
      </c>
      <c r="C413" s="13"/>
      <c r="E413" s="97">
        <f>(E412+1)</f>
        <v>3</v>
      </c>
      <c r="F413" s="13"/>
      <c r="G413" s="13"/>
      <c r="H413" s="98">
        <v>0</v>
      </c>
      <c r="I413" s="98">
        <v>0</v>
      </c>
      <c r="J413" s="98">
        <v>0</v>
      </c>
      <c r="K413" s="98">
        <v>0</v>
      </c>
      <c r="L413" s="98">
        <v>0</v>
      </c>
      <c r="M413" s="98">
        <v>0</v>
      </c>
    </row>
    <row r="414" spans="1:13" ht="12">
      <c r="A414" s="97">
        <f t="shared" si="11"/>
        <v>9</v>
      </c>
      <c r="C414" s="13"/>
      <c r="E414" s="97">
        <f t="shared" si="12"/>
        <v>4</v>
      </c>
      <c r="F414" s="13"/>
      <c r="G414" s="13"/>
      <c r="H414" s="98"/>
      <c r="I414" s="98"/>
      <c r="J414" s="98"/>
      <c r="K414" s="98"/>
      <c r="L414" s="98"/>
      <c r="M414" s="98"/>
    </row>
    <row r="415" spans="1:13" ht="12">
      <c r="A415" s="97">
        <f t="shared" si="11"/>
        <v>10</v>
      </c>
      <c r="E415" s="97">
        <f t="shared" si="12"/>
        <v>5</v>
      </c>
      <c r="F415" s="13"/>
      <c r="G415" s="13"/>
      <c r="H415" s="98"/>
      <c r="I415" s="98"/>
      <c r="J415" s="98"/>
      <c r="K415" s="98"/>
      <c r="L415" s="98"/>
      <c r="M415" s="98"/>
    </row>
    <row r="416" spans="1:13" ht="12">
      <c r="A416" s="97">
        <f t="shared" si="11"/>
        <v>11</v>
      </c>
      <c r="E416" s="97">
        <f t="shared" si="12"/>
        <v>6</v>
      </c>
      <c r="F416" s="13"/>
      <c r="G416" s="13"/>
      <c r="H416" s="98"/>
      <c r="I416" s="98"/>
      <c r="J416" s="98"/>
      <c r="K416" s="98"/>
      <c r="L416" s="98"/>
      <c r="M416" s="98"/>
    </row>
    <row r="417" spans="1:13" ht="12">
      <c r="A417" s="97">
        <f t="shared" si="11"/>
        <v>12</v>
      </c>
      <c r="E417" s="97">
        <f t="shared" si="12"/>
        <v>7</v>
      </c>
      <c r="F417" s="13"/>
      <c r="G417" s="13"/>
      <c r="H417" s="98"/>
      <c r="I417" s="98"/>
      <c r="J417" s="98"/>
      <c r="K417" s="98"/>
      <c r="L417" s="98"/>
      <c r="M417" s="98"/>
    </row>
    <row r="418" spans="1:13" ht="12">
      <c r="A418" s="97">
        <f t="shared" si="11"/>
        <v>13</v>
      </c>
      <c r="C418" s="13"/>
      <c r="E418" s="97">
        <f t="shared" si="12"/>
        <v>8</v>
      </c>
      <c r="F418" s="13"/>
      <c r="G418" s="13"/>
      <c r="H418" s="98"/>
      <c r="I418" s="98"/>
      <c r="J418" s="98"/>
      <c r="K418" s="98"/>
      <c r="L418" s="98"/>
      <c r="M418" s="98"/>
    </row>
    <row r="419" spans="1:13" ht="12">
      <c r="A419" s="97">
        <f t="shared" si="11"/>
        <v>14</v>
      </c>
      <c r="C419" s="13" t="s">
        <v>184</v>
      </c>
      <c r="E419" s="97">
        <f t="shared" si="12"/>
        <v>9</v>
      </c>
      <c r="F419" s="13"/>
      <c r="G419" s="13"/>
      <c r="H419" s="98"/>
      <c r="I419" s="98"/>
      <c r="J419" s="98"/>
      <c r="K419" s="98"/>
      <c r="L419" s="98"/>
      <c r="M419" s="98"/>
    </row>
    <row r="420" spans="1:13" ht="12">
      <c r="A420" s="97">
        <f t="shared" si="11"/>
        <v>15</v>
      </c>
      <c r="C420" s="13"/>
      <c r="E420" s="97">
        <f t="shared" si="12"/>
        <v>10</v>
      </c>
      <c r="F420" s="13"/>
      <c r="G420" s="13"/>
      <c r="H420" s="98">
        <v>0</v>
      </c>
      <c r="I420" s="98">
        <v>0</v>
      </c>
      <c r="J420" s="98">
        <v>0</v>
      </c>
      <c r="K420" s="98">
        <v>0</v>
      </c>
      <c r="L420" s="98">
        <v>0</v>
      </c>
      <c r="M420" s="98">
        <v>0</v>
      </c>
    </row>
    <row r="421" spans="1:13" ht="12">
      <c r="A421" s="97">
        <f t="shared" si="11"/>
        <v>16</v>
      </c>
      <c r="C421" s="13"/>
      <c r="E421" s="97">
        <f t="shared" si="12"/>
        <v>11</v>
      </c>
      <c r="F421" s="13"/>
      <c r="G421" s="13"/>
      <c r="H421" s="179"/>
      <c r="I421" s="98"/>
      <c r="J421" s="98"/>
      <c r="K421" s="98"/>
      <c r="L421" s="98"/>
      <c r="M421" s="98"/>
    </row>
    <row r="422" spans="1:13" ht="12">
      <c r="A422" s="97">
        <f t="shared" si="11"/>
        <v>17</v>
      </c>
      <c r="C422" s="13"/>
      <c r="E422" s="97">
        <f t="shared" si="12"/>
        <v>12</v>
      </c>
      <c r="F422" s="13"/>
      <c r="G422" s="13"/>
      <c r="H422" s="179"/>
      <c r="I422" s="98"/>
      <c r="J422" s="98"/>
      <c r="K422" s="98"/>
      <c r="L422" s="98"/>
      <c r="M422" s="98"/>
    </row>
    <row r="423" spans="1:13" ht="12">
      <c r="A423" s="97">
        <f t="shared" si="11"/>
        <v>18</v>
      </c>
      <c r="C423" s="13"/>
      <c r="E423" s="97">
        <f t="shared" si="12"/>
        <v>13</v>
      </c>
      <c r="F423" s="13"/>
      <c r="G423" s="13"/>
      <c r="H423" s="179"/>
      <c r="I423" s="98"/>
      <c r="J423" s="98"/>
      <c r="K423" s="98"/>
      <c r="L423" s="98"/>
      <c r="M423" s="98"/>
    </row>
    <row r="424" spans="1:13" ht="12">
      <c r="A424" s="97">
        <f t="shared" si="11"/>
        <v>19</v>
      </c>
      <c r="C424" s="13"/>
      <c r="E424" s="97">
        <f t="shared" si="12"/>
        <v>14</v>
      </c>
      <c r="F424" s="13"/>
      <c r="G424" s="13"/>
      <c r="H424" s="179"/>
      <c r="I424" s="98"/>
      <c r="J424" s="98"/>
      <c r="K424" s="98"/>
      <c r="L424" s="98"/>
      <c r="M424" s="98"/>
    </row>
    <row r="425" spans="1:13" ht="12">
      <c r="A425" s="97">
        <f t="shared" si="11"/>
        <v>20</v>
      </c>
      <c r="C425" s="13"/>
      <c r="E425" s="97">
        <f t="shared" si="12"/>
        <v>15</v>
      </c>
      <c r="F425" s="13"/>
      <c r="G425" s="13"/>
      <c r="H425" s="179"/>
      <c r="I425" s="98"/>
      <c r="J425" s="98"/>
      <c r="K425" s="98"/>
      <c r="L425" s="98"/>
      <c r="M425" s="98"/>
    </row>
    <row r="426" spans="1:13" ht="12">
      <c r="A426" s="97">
        <f t="shared" si="11"/>
        <v>21</v>
      </c>
      <c r="C426" s="13"/>
      <c r="E426" s="97">
        <f t="shared" si="12"/>
        <v>16</v>
      </c>
      <c r="F426" s="13"/>
      <c r="G426" s="13"/>
      <c r="H426" s="179"/>
      <c r="I426" s="98"/>
      <c r="J426" s="98"/>
      <c r="K426" s="98"/>
      <c r="L426" s="98"/>
      <c r="M426" s="98"/>
    </row>
    <row r="427" spans="1:13" ht="12">
      <c r="A427" s="97">
        <f t="shared" si="11"/>
        <v>22</v>
      </c>
      <c r="C427" s="13"/>
      <c r="E427" s="97">
        <f t="shared" si="12"/>
        <v>17</v>
      </c>
      <c r="F427" s="13"/>
      <c r="G427" s="13"/>
      <c r="H427" s="179"/>
      <c r="I427" s="98"/>
      <c r="J427" s="98"/>
      <c r="K427" s="98"/>
      <c r="L427" s="98"/>
      <c r="M427" s="98"/>
    </row>
    <row r="428" spans="1:13" ht="12">
      <c r="A428" s="97">
        <f t="shared" si="11"/>
        <v>23</v>
      </c>
      <c r="C428" s="13"/>
      <c r="E428" s="97">
        <f t="shared" si="12"/>
        <v>18</v>
      </c>
      <c r="F428" s="13"/>
      <c r="G428" s="13"/>
      <c r="H428" s="179"/>
      <c r="I428" s="98"/>
      <c r="J428" s="98"/>
      <c r="K428" s="98"/>
      <c r="L428" s="98"/>
      <c r="M428" s="98"/>
    </row>
    <row r="429" spans="1:13" ht="12">
      <c r="A429" s="97">
        <f t="shared" si="11"/>
        <v>24</v>
      </c>
      <c r="C429" s="13"/>
      <c r="E429" s="97">
        <f t="shared" si="12"/>
        <v>19</v>
      </c>
      <c r="F429" s="13"/>
      <c r="G429" s="13"/>
      <c r="H429" s="179"/>
      <c r="I429" s="98"/>
      <c r="J429" s="98"/>
      <c r="K429" s="98"/>
      <c r="L429" s="98"/>
      <c r="M429" s="98"/>
    </row>
    <row r="430" spans="1:13" ht="12">
      <c r="A430" s="99"/>
      <c r="E430" s="99"/>
      <c r="F430" s="90" t="s">
        <v>1</v>
      </c>
      <c r="G430" s="90"/>
      <c r="H430" s="23"/>
      <c r="I430" s="22" t="s">
        <v>1</v>
      </c>
      <c r="J430" s="23"/>
      <c r="K430" s="90"/>
      <c r="L430" s="22"/>
      <c r="M430" s="23"/>
    </row>
    <row r="431" spans="1:13" ht="12">
      <c r="A431" s="97">
        <f>(A429+1)</f>
        <v>25</v>
      </c>
      <c r="C431" s="12" t="s">
        <v>185</v>
      </c>
      <c r="E431" s="97">
        <f>(E429+1)</f>
        <v>20</v>
      </c>
      <c r="H431" s="100">
        <f>SUM(H406:H429)</f>
        <v>0</v>
      </c>
      <c r="I431" s="100"/>
      <c r="J431" s="100">
        <f>SUM(J406:J429)</f>
        <v>0</v>
      </c>
      <c r="K431" s="100"/>
      <c r="L431" s="101"/>
      <c r="M431" s="100">
        <f>SUM(M406:M429)</f>
        <v>0</v>
      </c>
    </row>
    <row r="432" spans="1:13" ht="12">
      <c r="A432" s="97"/>
      <c r="C432" s="12"/>
      <c r="E432" s="97"/>
      <c r="F432" s="90" t="s">
        <v>1</v>
      </c>
      <c r="G432" s="90"/>
      <c r="H432" s="90"/>
      <c r="I432" s="22" t="s">
        <v>1</v>
      </c>
      <c r="J432" s="23"/>
      <c r="K432" s="90"/>
      <c r="L432" s="22"/>
      <c r="M432" s="23"/>
    </row>
    <row r="433" ht="12">
      <c r="E433" s="50"/>
    </row>
    <row r="434" ht="12">
      <c r="E434" s="50"/>
    </row>
    <row r="436" spans="1:13" ht="12">
      <c r="A436" s="19" t="str">
        <f>$A$36</f>
        <v>Institution No.:  GFC</v>
      </c>
      <c r="B436" s="46"/>
      <c r="C436" s="46"/>
      <c r="D436" s="46"/>
      <c r="E436" s="51"/>
      <c r="F436" s="46"/>
      <c r="G436" s="46"/>
      <c r="H436" s="46"/>
      <c r="I436" s="52"/>
      <c r="J436" s="53"/>
      <c r="K436" s="46"/>
      <c r="L436" s="52"/>
      <c r="M436" s="18" t="s">
        <v>186</v>
      </c>
    </row>
    <row r="437" spans="1:13" ht="12">
      <c r="A437" s="262" t="s">
        <v>253</v>
      </c>
      <c r="B437" s="262"/>
      <c r="C437" s="262"/>
      <c r="D437" s="262"/>
      <c r="E437" s="262"/>
      <c r="F437" s="262"/>
      <c r="G437" s="262"/>
      <c r="H437" s="262"/>
      <c r="I437" s="262"/>
      <c r="J437" s="262"/>
      <c r="K437" s="262"/>
      <c r="L437" s="262"/>
      <c r="M437" s="262"/>
    </row>
    <row r="438" spans="1:13" ht="12">
      <c r="A438" s="19" t="s">
        <v>664</v>
      </c>
      <c r="C438" s="7" t="s">
        <v>540</v>
      </c>
      <c r="J438" s="55"/>
      <c r="L438" s="17"/>
      <c r="M438" s="20" t="str">
        <f>$M$3</f>
        <v>Date: 10/1/2008</v>
      </c>
    </row>
    <row r="439" spans="1:13" ht="12">
      <c r="A439" s="21" t="s">
        <v>1</v>
      </c>
      <c r="B439" s="21" t="s">
        <v>1</v>
      </c>
      <c r="C439" s="21" t="s">
        <v>1</v>
      </c>
      <c r="D439" s="21" t="s">
        <v>1</v>
      </c>
      <c r="E439" s="21" t="s">
        <v>1</v>
      </c>
      <c r="F439" s="21" t="s">
        <v>1</v>
      </c>
      <c r="G439" s="21"/>
      <c r="H439" s="21"/>
      <c r="I439" s="22" t="s">
        <v>1</v>
      </c>
      <c r="J439" s="23" t="s">
        <v>1</v>
      </c>
      <c r="K439" s="21" t="s">
        <v>1</v>
      </c>
      <c r="L439" s="22" t="s">
        <v>1</v>
      </c>
      <c r="M439" s="23" t="s">
        <v>1</v>
      </c>
    </row>
    <row r="440" spans="1:13" ht="12">
      <c r="A440" s="24" t="s">
        <v>2</v>
      </c>
      <c r="E440" s="24" t="s">
        <v>2</v>
      </c>
      <c r="F440" s="25"/>
      <c r="G440" s="25"/>
      <c r="H440" s="25" t="s">
        <v>249</v>
      </c>
      <c r="I440" s="26"/>
      <c r="J440" s="27" t="s">
        <v>251</v>
      </c>
      <c r="K440" s="25"/>
      <c r="L440" s="26"/>
      <c r="M440" s="27" t="s">
        <v>260</v>
      </c>
    </row>
    <row r="441" spans="1:13" ht="12">
      <c r="A441" s="24" t="s">
        <v>4</v>
      </c>
      <c r="C441" s="28" t="s">
        <v>20</v>
      </c>
      <c r="E441" s="24" t="s">
        <v>4</v>
      </c>
      <c r="F441" s="25"/>
      <c r="G441" s="25"/>
      <c r="H441" s="27" t="s">
        <v>7</v>
      </c>
      <c r="I441" s="26"/>
      <c r="J441" s="27" t="s">
        <v>7</v>
      </c>
      <c r="K441" s="25"/>
      <c r="L441" s="26"/>
      <c r="M441" s="27" t="s">
        <v>8</v>
      </c>
    </row>
    <row r="442" spans="1:13" ht="12">
      <c r="A442" s="21" t="s">
        <v>1</v>
      </c>
      <c r="B442" s="21" t="s">
        <v>1</v>
      </c>
      <c r="C442" s="21" t="s">
        <v>1</v>
      </c>
      <c r="D442" s="21" t="s">
        <v>1</v>
      </c>
      <c r="E442" s="21" t="s">
        <v>1</v>
      </c>
      <c r="F442" s="21" t="s">
        <v>1</v>
      </c>
      <c r="G442" s="21"/>
      <c r="H442" s="21"/>
      <c r="I442" s="22" t="s">
        <v>1</v>
      </c>
      <c r="J442" s="23" t="s">
        <v>1</v>
      </c>
      <c r="K442" s="21" t="s">
        <v>1</v>
      </c>
      <c r="L442" s="22" t="s">
        <v>1</v>
      </c>
      <c r="M442" s="23" t="s">
        <v>1</v>
      </c>
    </row>
    <row r="443" spans="1:13" ht="12">
      <c r="A443" s="7">
        <v>1</v>
      </c>
      <c r="C443" s="7" t="s">
        <v>268</v>
      </c>
      <c r="E443" s="7">
        <v>1</v>
      </c>
      <c r="H443" s="102">
        <v>5500380</v>
      </c>
      <c r="I443" s="102"/>
      <c r="J443" s="102">
        <v>8268512</v>
      </c>
      <c r="K443" s="102"/>
      <c r="L443" s="102"/>
      <c r="M443" s="102">
        <v>9218024</v>
      </c>
    </row>
    <row r="444" ht="12">
      <c r="E444" s="50"/>
    </row>
    <row r="445" ht="12">
      <c r="E445" s="50"/>
    </row>
    <row r="446" ht="12">
      <c r="E446" s="50"/>
    </row>
    <row r="447" ht="12">
      <c r="E447" s="50"/>
    </row>
    <row r="448" ht="12">
      <c r="E448" s="50"/>
    </row>
    <row r="449" ht="12">
      <c r="E449" s="50"/>
    </row>
    <row r="450" ht="12">
      <c r="E450" s="50"/>
    </row>
    <row r="451" ht="12">
      <c r="E451" s="50"/>
    </row>
    <row r="452" ht="12">
      <c r="E452" s="50"/>
    </row>
    <row r="453" ht="12">
      <c r="E453" s="50"/>
    </row>
    <row r="454" ht="12">
      <c r="E454" s="50"/>
    </row>
    <row r="455" ht="12">
      <c r="E455" s="50"/>
    </row>
    <row r="456" ht="12">
      <c r="E456" s="50"/>
    </row>
    <row r="457" ht="12">
      <c r="E457" s="50"/>
    </row>
    <row r="458" spans="2:6" ht="12.75">
      <c r="B458" s="56"/>
      <c r="C458" s="57"/>
      <c r="D458" s="58"/>
      <c r="E458" s="58"/>
      <c r="F458" s="58"/>
    </row>
    <row r="459" spans="2:6" ht="12.75">
      <c r="B459" s="56"/>
      <c r="C459" s="57"/>
      <c r="D459" s="58"/>
      <c r="E459" s="58"/>
      <c r="F459" s="58"/>
    </row>
    <row r="460" ht="12">
      <c r="E460" s="50"/>
    </row>
    <row r="461" ht="12">
      <c r="E461" s="50"/>
    </row>
    <row r="462" ht="12">
      <c r="E462" s="50"/>
    </row>
    <row r="463" ht="12">
      <c r="E463" s="50"/>
    </row>
    <row r="464" ht="12">
      <c r="E464" s="50"/>
    </row>
    <row r="465" ht="12">
      <c r="E465" s="50"/>
    </row>
    <row r="466" ht="12">
      <c r="E466" s="50"/>
    </row>
    <row r="467" ht="12">
      <c r="E467" s="50"/>
    </row>
    <row r="468" ht="12">
      <c r="E468" s="50"/>
    </row>
    <row r="469" ht="12">
      <c r="E469" s="50"/>
    </row>
    <row r="470" ht="12">
      <c r="E470" s="50"/>
    </row>
    <row r="471" ht="12">
      <c r="E471" s="50"/>
    </row>
    <row r="472" ht="12">
      <c r="E472" s="50"/>
    </row>
    <row r="473" spans="5:13" ht="12">
      <c r="E473" s="50"/>
      <c r="I473" s="17"/>
      <c r="J473" s="55"/>
      <c r="L473" s="17"/>
      <c r="M473" s="55"/>
    </row>
    <row r="474" spans="1:13" ht="12">
      <c r="A474" s="19" t="str">
        <f>$A$36</f>
        <v>Institution No.:  GFC</v>
      </c>
      <c r="B474" s="46"/>
      <c r="C474" s="46"/>
      <c r="D474" s="46"/>
      <c r="E474" s="51"/>
      <c r="F474" s="46"/>
      <c r="G474" s="46"/>
      <c r="H474" s="46"/>
      <c r="I474" s="52"/>
      <c r="J474" s="53"/>
      <c r="K474" s="46"/>
      <c r="L474" s="52"/>
      <c r="M474" s="18" t="s">
        <v>22</v>
      </c>
    </row>
    <row r="475" spans="1:13" s="46" customFormat="1" ht="12">
      <c r="A475" s="274" t="s">
        <v>148</v>
      </c>
      <c r="B475" s="274"/>
      <c r="C475" s="274"/>
      <c r="D475" s="274"/>
      <c r="E475" s="274"/>
      <c r="F475" s="274"/>
      <c r="G475" s="274"/>
      <c r="H475" s="274"/>
      <c r="I475" s="274"/>
      <c r="J475" s="274"/>
      <c r="K475" s="274"/>
      <c r="L475" s="274"/>
      <c r="M475" s="274"/>
    </row>
    <row r="476" spans="1:13" s="46" customFormat="1" ht="12">
      <c r="A476" s="19" t="s">
        <v>664</v>
      </c>
      <c r="B476" s="7"/>
      <c r="C476" s="7" t="s">
        <v>540</v>
      </c>
      <c r="D476" s="7"/>
      <c r="E476" s="7"/>
      <c r="F476" s="7"/>
      <c r="G476" s="7"/>
      <c r="H476" s="7"/>
      <c r="I476" s="103"/>
      <c r="J476" s="55"/>
      <c r="K476" s="7"/>
      <c r="L476" s="17"/>
      <c r="M476" s="20" t="str">
        <f>$M$3</f>
        <v>Date: 10/1/2008</v>
      </c>
    </row>
    <row r="477" spans="1:13" ht="12">
      <c r="A477" s="21" t="s">
        <v>1</v>
      </c>
      <c r="B477" s="21" t="s">
        <v>1</v>
      </c>
      <c r="C477" s="21" t="s">
        <v>1</v>
      </c>
      <c r="D477" s="21" t="s">
        <v>1</v>
      </c>
      <c r="E477" s="21" t="s">
        <v>1</v>
      </c>
      <c r="F477" s="21" t="s">
        <v>1</v>
      </c>
      <c r="G477" s="21"/>
      <c r="H477" s="21"/>
      <c r="I477" s="22" t="s">
        <v>1</v>
      </c>
      <c r="J477" s="23" t="s">
        <v>1</v>
      </c>
      <c r="K477" s="21" t="s">
        <v>1</v>
      </c>
      <c r="L477" s="22" t="s">
        <v>1</v>
      </c>
      <c r="M477" s="23" t="s">
        <v>1</v>
      </c>
    </row>
    <row r="478" spans="1:13" ht="12">
      <c r="A478" s="24" t="s">
        <v>2</v>
      </c>
      <c r="E478" s="24" t="s">
        <v>2</v>
      </c>
      <c r="F478" s="25"/>
      <c r="G478" s="26"/>
      <c r="H478" s="25" t="s">
        <v>249</v>
      </c>
      <c r="I478" s="26"/>
      <c r="J478" s="27" t="s">
        <v>251</v>
      </c>
      <c r="K478" s="25"/>
      <c r="L478" s="26"/>
      <c r="M478" s="27" t="s">
        <v>260</v>
      </c>
    </row>
    <row r="479" spans="1:13" ht="12">
      <c r="A479" s="24" t="s">
        <v>4</v>
      </c>
      <c r="C479" s="28" t="s">
        <v>20</v>
      </c>
      <c r="E479" s="24" t="s">
        <v>4</v>
      </c>
      <c r="F479" s="25"/>
      <c r="G479" s="26" t="s">
        <v>6</v>
      </c>
      <c r="H479" s="27" t="s">
        <v>7</v>
      </c>
      <c r="I479" s="26" t="s">
        <v>6</v>
      </c>
      <c r="J479" s="27" t="s">
        <v>7</v>
      </c>
      <c r="K479" s="25"/>
      <c r="L479" s="26" t="s">
        <v>6</v>
      </c>
      <c r="M479" s="27" t="s">
        <v>8</v>
      </c>
    </row>
    <row r="480" spans="1:13" ht="12">
      <c r="A480" s="21" t="s">
        <v>1</v>
      </c>
      <c r="B480" s="21" t="s">
        <v>1</v>
      </c>
      <c r="C480" s="21" t="s">
        <v>1</v>
      </c>
      <c r="D480" s="21" t="s">
        <v>1</v>
      </c>
      <c r="E480" s="21" t="s">
        <v>1</v>
      </c>
      <c r="F480" s="21" t="s">
        <v>1</v>
      </c>
      <c r="G480" s="21"/>
      <c r="H480" s="21"/>
      <c r="I480" s="22" t="s">
        <v>1</v>
      </c>
      <c r="J480" s="23" t="s">
        <v>1</v>
      </c>
      <c r="K480" s="21" t="s">
        <v>1</v>
      </c>
      <c r="L480" s="22" t="s">
        <v>1</v>
      </c>
      <c r="M480" s="23" t="s">
        <v>1</v>
      </c>
    </row>
    <row r="481" spans="1:13" ht="12">
      <c r="A481" s="11">
        <v>1</v>
      </c>
      <c r="C481" s="12" t="s">
        <v>36</v>
      </c>
      <c r="E481" s="11">
        <v>1</v>
      </c>
      <c r="F481" s="13"/>
      <c r="G481" s="104">
        <v>318.35</v>
      </c>
      <c r="H481" s="1">
        <v>18580376</v>
      </c>
      <c r="I481" s="104">
        <f>323.08+38.11</f>
        <v>361.19</v>
      </c>
      <c r="J481" s="1">
        <f>19702243+182489+1247744</f>
        <v>21132476</v>
      </c>
      <c r="K481" s="1"/>
      <c r="L481" s="104">
        <f>331.46+20.53</f>
        <v>351.99</v>
      </c>
      <c r="M481" s="1">
        <f>22362886+153060+1092611</f>
        <v>23608557</v>
      </c>
    </row>
    <row r="482" spans="1:13" ht="12">
      <c r="A482" s="11">
        <v>2</v>
      </c>
      <c r="C482" s="12" t="s">
        <v>37</v>
      </c>
      <c r="E482" s="11">
        <v>2</v>
      </c>
      <c r="F482" s="13"/>
      <c r="G482" s="104"/>
      <c r="H482" s="1">
        <v>4647913</v>
      </c>
      <c r="I482" s="104"/>
      <c r="J482" s="1">
        <f>5124987+179+331402+192024</f>
        <v>5648592</v>
      </c>
      <c r="K482" s="1"/>
      <c r="L482" s="104"/>
      <c r="M482" s="1">
        <f>6139332</f>
        <v>6139332</v>
      </c>
    </row>
    <row r="483" spans="1:13" ht="12">
      <c r="A483" s="11">
        <v>3</v>
      </c>
      <c r="C483" s="12" t="s">
        <v>219</v>
      </c>
      <c r="E483" s="11">
        <v>3</v>
      </c>
      <c r="F483" s="13"/>
      <c r="G483" s="104">
        <v>71.81</v>
      </c>
      <c r="H483" s="1">
        <v>1944587</v>
      </c>
      <c r="I483" s="104">
        <v>84.45</v>
      </c>
      <c r="J483" s="1">
        <f>2230701</f>
        <v>2230701</v>
      </c>
      <c r="K483" s="1"/>
      <c r="L483" s="104">
        <v>86.14</v>
      </c>
      <c r="M483" s="1">
        <f>2153440</f>
        <v>2153440</v>
      </c>
    </row>
    <row r="484" spans="1:13" ht="12">
      <c r="A484" s="11">
        <v>4</v>
      </c>
      <c r="C484" s="12" t="s">
        <v>23</v>
      </c>
      <c r="E484" s="11">
        <v>4</v>
      </c>
      <c r="F484" s="13"/>
      <c r="G484" s="104">
        <f>SUM(G481:G483)</f>
        <v>390.16</v>
      </c>
      <c r="H484" s="166">
        <f aca="true" t="shared" si="13" ref="H484:M484">SUM(H481:H483)</f>
        <v>25172876</v>
      </c>
      <c r="I484" s="104">
        <f t="shared" si="13"/>
        <v>445.64</v>
      </c>
      <c r="J484" s="105">
        <f t="shared" si="13"/>
        <v>29011769</v>
      </c>
      <c r="K484" s="105"/>
      <c r="L484" s="104">
        <f>SUM(L481:L483)</f>
        <v>438.13</v>
      </c>
      <c r="M484" s="105">
        <f t="shared" si="13"/>
        <v>31901329</v>
      </c>
    </row>
    <row r="485" spans="1:13" ht="12">
      <c r="A485" s="11">
        <v>5</v>
      </c>
      <c r="E485" s="11">
        <v>5</v>
      </c>
      <c r="F485" s="13"/>
      <c r="G485" s="104"/>
      <c r="H485" s="1"/>
      <c r="I485" s="104"/>
      <c r="J485" s="1"/>
      <c r="K485" s="100"/>
      <c r="L485" s="104"/>
      <c r="M485" s="1"/>
    </row>
    <row r="486" spans="1:13" ht="12">
      <c r="A486" s="11">
        <v>6</v>
      </c>
      <c r="C486" s="12" t="s">
        <v>24</v>
      </c>
      <c r="E486" s="11">
        <v>6</v>
      </c>
      <c r="F486" s="13"/>
      <c r="G486" s="104"/>
      <c r="H486" s="1"/>
      <c r="I486" s="104">
        <v>0</v>
      </c>
      <c r="J486" s="1"/>
      <c r="K486" s="1"/>
      <c r="L486" s="104">
        <v>0</v>
      </c>
      <c r="M486" s="1"/>
    </row>
    <row r="487" spans="1:13" ht="12">
      <c r="A487" s="11">
        <v>7</v>
      </c>
      <c r="C487" s="12" t="s">
        <v>25</v>
      </c>
      <c r="E487" s="11">
        <v>7</v>
      </c>
      <c r="F487" s="13"/>
      <c r="G487" s="104">
        <v>32.47</v>
      </c>
      <c r="H487" s="1">
        <v>1395204</v>
      </c>
      <c r="I487" s="104">
        <v>17.55</v>
      </c>
      <c r="J487" s="1">
        <f>1492805</f>
        <v>1492805</v>
      </c>
      <c r="K487" s="1"/>
      <c r="L487" s="104">
        <v>30.77</v>
      </c>
      <c r="M487" s="1">
        <v>1467434</v>
      </c>
    </row>
    <row r="488" spans="1:13" ht="12">
      <c r="A488" s="11">
        <v>8</v>
      </c>
      <c r="C488" s="12" t="s">
        <v>26</v>
      </c>
      <c r="E488" s="11">
        <v>8</v>
      </c>
      <c r="F488" s="13"/>
      <c r="G488" s="104"/>
      <c r="H488" s="1">
        <v>285862</v>
      </c>
      <c r="I488" s="104"/>
      <c r="J488" s="1">
        <v>351994</v>
      </c>
      <c r="K488" s="1"/>
      <c r="L488" s="104"/>
      <c r="M488" s="1">
        <v>444538</v>
      </c>
    </row>
    <row r="489" spans="1:13" ht="12">
      <c r="A489" s="11">
        <v>9</v>
      </c>
      <c r="C489" s="12" t="s">
        <v>27</v>
      </c>
      <c r="E489" s="11">
        <v>9</v>
      </c>
      <c r="F489" s="13"/>
      <c r="G489" s="104">
        <f>SUM(G486:G488)</f>
        <v>32.47</v>
      </c>
      <c r="H489" s="1">
        <f>SUM(H486:H488)</f>
        <v>1681066</v>
      </c>
      <c r="I489" s="104">
        <f>SUM(I486:I488)</f>
        <v>17.55</v>
      </c>
      <c r="J489" s="1">
        <f>SUM(J486:J488)</f>
        <v>1844799</v>
      </c>
      <c r="K489" s="101"/>
      <c r="L489" s="104">
        <f>SUM(L486:L488)</f>
        <v>30.77</v>
      </c>
      <c r="M489" s="1">
        <f>SUM(M486:M488)</f>
        <v>1911972</v>
      </c>
    </row>
    <row r="490" spans="1:13" ht="12">
      <c r="A490" s="11">
        <v>10</v>
      </c>
      <c r="E490" s="11">
        <v>10</v>
      </c>
      <c r="F490" s="13"/>
      <c r="G490" s="104"/>
      <c r="H490" s="1"/>
      <c r="I490" s="106"/>
      <c r="J490" s="1"/>
      <c r="K490" s="100"/>
      <c r="L490" s="106"/>
      <c r="M490" s="1"/>
    </row>
    <row r="491" spans="1:13" ht="12">
      <c r="A491" s="11">
        <v>11</v>
      </c>
      <c r="C491" s="12" t="s">
        <v>28</v>
      </c>
      <c r="E491" s="11">
        <v>11</v>
      </c>
      <c r="G491" s="107">
        <f>SUM(G484+G489)</f>
        <v>422.63</v>
      </c>
      <c r="H491" s="100">
        <f>SUM(H484+H489)</f>
        <v>26853942</v>
      </c>
      <c r="I491" s="107">
        <f>SUM(I484+I489)</f>
        <v>463.19</v>
      </c>
      <c r="J491" s="100">
        <f>SUM(J484+J489)</f>
        <v>30856568</v>
      </c>
      <c r="K491" s="100"/>
      <c r="L491" s="107">
        <f>SUM(L484+L489)</f>
        <v>468.9</v>
      </c>
      <c r="M491" s="100">
        <f>SUM(M484+M489)</f>
        <v>33813301</v>
      </c>
    </row>
    <row r="492" spans="1:13" ht="12">
      <c r="A492" s="11">
        <v>12</v>
      </c>
      <c r="E492" s="11">
        <v>12</v>
      </c>
      <c r="G492" s="107"/>
      <c r="H492" s="100"/>
      <c r="I492" s="107"/>
      <c r="J492" s="100"/>
      <c r="K492" s="100"/>
      <c r="L492" s="107"/>
      <c r="M492" s="100"/>
    </row>
    <row r="493" spans="1:13" ht="12">
      <c r="A493" s="11">
        <v>13</v>
      </c>
      <c r="C493" s="12" t="s">
        <v>29</v>
      </c>
      <c r="E493" s="11">
        <v>13</v>
      </c>
      <c r="F493" s="13"/>
      <c r="G493" s="104">
        <v>0</v>
      </c>
      <c r="H493" s="1">
        <v>544834</v>
      </c>
      <c r="I493" s="104"/>
      <c r="J493" s="1">
        <f>681176+1833</f>
        <v>683009</v>
      </c>
      <c r="K493" s="1"/>
      <c r="L493" s="104"/>
      <c r="M493" s="1">
        <f>320637+5030</f>
        <v>325667</v>
      </c>
    </row>
    <row r="494" spans="1:13" ht="12">
      <c r="A494" s="11">
        <v>14</v>
      </c>
      <c r="E494" s="11">
        <v>14</v>
      </c>
      <c r="F494" s="13"/>
      <c r="G494" s="104"/>
      <c r="H494" s="1"/>
      <c r="I494" s="104"/>
      <c r="J494" s="1"/>
      <c r="K494" s="1"/>
      <c r="L494" s="104"/>
      <c r="M494" s="1"/>
    </row>
    <row r="495" spans="1:13" ht="12">
      <c r="A495" s="11">
        <v>15</v>
      </c>
      <c r="C495" s="12" t="s">
        <v>30</v>
      </c>
      <c r="E495" s="11">
        <v>15</v>
      </c>
      <c r="F495" s="13"/>
      <c r="G495" s="104"/>
      <c r="H495" s="1">
        <v>381644</v>
      </c>
      <c r="I495" s="104"/>
      <c r="J495" s="1">
        <v>462987</v>
      </c>
      <c r="K495" s="1"/>
      <c r="L495" s="104"/>
      <c r="M495" s="1">
        <v>183646</v>
      </c>
    </row>
    <row r="496" spans="1:13" ht="12">
      <c r="A496" s="11">
        <v>16</v>
      </c>
      <c r="C496" s="12" t="s">
        <v>217</v>
      </c>
      <c r="E496" s="11">
        <v>16</v>
      </c>
      <c r="F496" s="13"/>
      <c r="G496" s="104"/>
      <c r="H496" s="1">
        <v>0</v>
      </c>
      <c r="I496" s="104"/>
      <c r="J496" s="1"/>
      <c r="K496" s="1"/>
      <c r="L496" s="104"/>
      <c r="M496" s="1"/>
    </row>
    <row r="497" spans="1:13" ht="12">
      <c r="A497" s="11">
        <v>17</v>
      </c>
      <c r="C497" s="217" t="s">
        <v>31</v>
      </c>
      <c r="E497" s="11">
        <v>17</v>
      </c>
      <c r="F497" s="13"/>
      <c r="G497" s="104"/>
      <c r="H497" s="1">
        <v>2355437</v>
      </c>
      <c r="I497" s="104"/>
      <c r="J497" s="1">
        <f>2556211</f>
        <v>2556211</v>
      </c>
      <c r="K497" s="1"/>
      <c r="L497" s="104"/>
      <c r="M497" s="1">
        <f>2641591+58000+60065</f>
        <v>2759656</v>
      </c>
    </row>
    <row r="498" spans="1:13" ht="18.75" customHeight="1">
      <c r="A498" s="11">
        <v>18</v>
      </c>
      <c r="C498" s="12"/>
      <c r="E498" s="11">
        <v>18</v>
      </c>
      <c r="G498" s="104"/>
      <c r="H498" s="1"/>
      <c r="I498" s="104"/>
      <c r="J498" s="1"/>
      <c r="K498" s="1"/>
      <c r="L498" s="104"/>
      <c r="M498" s="1"/>
    </row>
    <row r="499" spans="1:13" ht="12">
      <c r="A499" s="11">
        <v>19</v>
      </c>
      <c r="C499" s="12" t="s">
        <v>277</v>
      </c>
      <c r="E499" s="11">
        <v>19</v>
      </c>
      <c r="G499" s="104"/>
      <c r="H499" s="1">
        <v>0</v>
      </c>
      <c r="I499" s="104"/>
      <c r="J499" s="1"/>
      <c r="K499" s="1"/>
      <c r="L499" s="104"/>
      <c r="M499" s="1"/>
    </row>
    <row r="500" spans="1:13" ht="12">
      <c r="A500" s="11">
        <v>20</v>
      </c>
      <c r="C500" s="12"/>
      <c r="E500" s="11">
        <v>20</v>
      </c>
      <c r="G500" s="104"/>
      <c r="H500" s="1"/>
      <c r="I500" s="104"/>
      <c r="J500" s="1"/>
      <c r="K500" s="1"/>
      <c r="L500" s="104"/>
      <c r="M500" s="1"/>
    </row>
    <row r="501" spans="1:13" ht="12">
      <c r="A501" s="11">
        <v>21</v>
      </c>
      <c r="C501" s="12"/>
      <c r="E501" s="11">
        <v>21</v>
      </c>
      <c r="G501" s="104"/>
      <c r="H501" s="1"/>
      <c r="I501" s="104"/>
      <c r="J501" s="1"/>
      <c r="K501" s="1"/>
      <c r="L501" s="104"/>
      <c r="M501" s="1"/>
    </row>
    <row r="502" spans="1:13" ht="12">
      <c r="A502" s="11">
        <v>22</v>
      </c>
      <c r="C502" s="12"/>
      <c r="E502" s="11">
        <v>22</v>
      </c>
      <c r="G502" s="104"/>
      <c r="H502" s="1"/>
      <c r="I502" s="104"/>
      <c r="J502" s="1"/>
      <c r="K502" s="1"/>
      <c r="L502" s="104"/>
      <c r="M502" s="1"/>
    </row>
    <row r="503" spans="1:13" ht="12">
      <c r="A503" s="11">
        <v>23</v>
      </c>
      <c r="C503" s="12"/>
      <c r="E503" s="11">
        <v>23</v>
      </c>
      <c r="G503" s="104"/>
      <c r="H503" s="1"/>
      <c r="I503" s="104"/>
      <c r="J503" s="1"/>
      <c r="K503" s="1"/>
      <c r="L503" s="104"/>
      <c r="M503" s="1"/>
    </row>
    <row r="504" spans="1:13" ht="12">
      <c r="A504" s="11">
        <v>24</v>
      </c>
      <c r="C504" s="12"/>
      <c r="E504" s="11">
        <v>24</v>
      </c>
      <c r="G504" s="104"/>
      <c r="H504" s="1"/>
      <c r="I504" s="104"/>
      <c r="J504" s="1"/>
      <c r="K504" s="1"/>
      <c r="L504" s="104"/>
      <c r="M504" s="1"/>
    </row>
    <row r="505" spans="1:13" ht="12">
      <c r="A505" s="11"/>
      <c r="C505" s="12"/>
      <c r="E505" s="11"/>
      <c r="G505" s="104"/>
      <c r="H505" s="1"/>
      <c r="I505" s="104"/>
      <c r="J505" s="1"/>
      <c r="K505" s="1"/>
      <c r="L505" s="104"/>
      <c r="M505" s="1"/>
    </row>
    <row r="506" spans="1:13" ht="12">
      <c r="A506" s="11"/>
      <c r="E506" s="11"/>
      <c r="G506" s="104"/>
      <c r="H506" s="1"/>
      <c r="I506" s="104"/>
      <c r="J506" s="1"/>
      <c r="K506" s="1"/>
      <c r="L506" s="104"/>
      <c r="M506" s="1"/>
    </row>
    <row r="507" spans="1:13" ht="12">
      <c r="A507" s="11"/>
      <c r="E507" s="11"/>
      <c r="F507" s="90" t="s">
        <v>1</v>
      </c>
      <c r="G507" s="89"/>
      <c r="H507" s="90"/>
      <c r="I507" s="89"/>
      <c r="J507" s="23"/>
      <c r="K507" s="90"/>
      <c r="L507" s="89"/>
      <c r="M507" s="23"/>
    </row>
    <row r="508" spans="1:13" ht="12">
      <c r="A508" s="11">
        <v>25</v>
      </c>
      <c r="C508" s="12" t="s">
        <v>234</v>
      </c>
      <c r="E508" s="11">
        <v>25</v>
      </c>
      <c r="G508" s="107">
        <f>SUM(G491:G501)</f>
        <v>422.63</v>
      </c>
      <c r="H508" s="100">
        <f>SUM(H491:H501)</f>
        <v>30135857</v>
      </c>
      <c r="I508" s="107">
        <f>SUM(I491:I501)</f>
        <v>463.19</v>
      </c>
      <c r="J508" s="100">
        <f>SUM(J491:J501)</f>
        <v>34558775</v>
      </c>
      <c r="K508" s="108"/>
      <c r="L508" s="107">
        <f>SUM(L491:L501)</f>
        <v>468.9</v>
      </c>
      <c r="M508" s="100">
        <f>SUM(M491:M501)</f>
        <v>37082270</v>
      </c>
    </row>
    <row r="509" spans="6:13" ht="12">
      <c r="F509" s="90" t="s">
        <v>1</v>
      </c>
      <c r="G509" s="90"/>
      <c r="H509" s="90"/>
      <c r="I509" s="22"/>
      <c r="J509" s="23"/>
      <c r="K509" s="90"/>
      <c r="L509" s="22"/>
      <c r="M509" s="23"/>
    </row>
    <row r="510" ht="12">
      <c r="A510" s="12"/>
    </row>
    <row r="512" spans="1:13" ht="12">
      <c r="A512" s="19" t="str">
        <f>$A$36</f>
        <v>Institution No.:  GFC</v>
      </c>
      <c r="B512" s="46"/>
      <c r="C512" s="46"/>
      <c r="D512" s="46"/>
      <c r="E512" s="51"/>
      <c r="F512" s="46"/>
      <c r="G512" s="46"/>
      <c r="H512" s="46"/>
      <c r="I512" s="52"/>
      <c r="J512" s="53"/>
      <c r="K512" s="46"/>
      <c r="L512" s="52"/>
      <c r="M512" s="18" t="s">
        <v>33</v>
      </c>
    </row>
    <row r="513" spans="1:13" s="46" customFormat="1" ht="12">
      <c r="A513" s="274" t="s">
        <v>149</v>
      </c>
      <c r="B513" s="274"/>
      <c r="C513" s="274"/>
      <c r="D513" s="274"/>
      <c r="E513" s="274"/>
      <c r="F513" s="274"/>
      <c r="G513" s="274"/>
      <c r="H513" s="274"/>
      <c r="I513" s="274"/>
      <c r="J513" s="274"/>
      <c r="K513" s="274"/>
      <c r="L513" s="274"/>
      <c r="M513" s="274"/>
    </row>
    <row r="514" spans="1:13" s="46" customFormat="1" ht="12">
      <c r="A514" s="19" t="s">
        <v>664</v>
      </c>
      <c r="B514" s="7"/>
      <c r="C514" s="7" t="s">
        <v>540</v>
      </c>
      <c r="D514" s="7"/>
      <c r="E514" s="7"/>
      <c r="F514" s="92"/>
      <c r="G514" s="92"/>
      <c r="H514" s="92"/>
      <c r="I514" s="85"/>
      <c r="J514" s="86"/>
      <c r="K514" s="7"/>
      <c r="L514" s="17"/>
      <c r="M514" s="20" t="str">
        <f>$M$3</f>
        <v>Date: 10/1/2008</v>
      </c>
    </row>
    <row r="515" spans="1:13" ht="12">
      <c r="A515" s="21" t="s">
        <v>1</v>
      </c>
      <c r="B515" s="21" t="s">
        <v>1</v>
      </c>
      <c r="C515" s="21" t="s">
        <v>1</v>
      </c>
      <c r="D515" s="21" t="s">
        <v>1</v>
      </c>
      <c r="E515" s="21" t="s">
        <v>1</v>
      </c>
      <c r="F515" s="21" t="s">
        <v>1</v>
      </c>
      <c r="G515" s="21"/>
      <c r="H515" s="21"/>
      <c r="I515" s="22" t="s">
        <v>1</v>
      </c>
      <c r="J515" s="23" t="s">
        <v>1</v>
      </c>
      <c r="K515" s="21" t="s">
        <v>1</v>
      </c>
      <c r="L515" s="22" t="s">
        <v>1</v>
      </c>
      <c r="M515" s="23" t="s">
        <v>1</v>
      </c>
    </row>
    <row r="516" spans="1:13" ht="12">
      <c r="A516" s="24" t="s">
        <v>2</v>
      </c>
      <c r="E516" s="24" t="s">
        <v>2</v>
      </c>
      <c r="F516" s="25"/>
      <c r="G516" s="26"/>
      <c r="H516" s="25" t="s">
        <v>249</v>
      </c>
      <c r="I516" s="26"/>
      <c r="J516" s="27" t="s">
        <v>251</v>
      </c>
      <c r="K516" s="25"/>
      <c r="L516" s="26"/>
      <c r="M516" s="27" t="s">
        <v>260</v>
      </c>
    </row>
    <row r="517" spans="1:13" ht="12">
      <c r="A517" s="24" t="s">
        <v>4</v>
      </c>
      <c r="C517" s="28" t="s">
        <v>20</v>
      </c>
      <c r="E517" s="24" t="s">
        <v>4</v>
      </c>
      <c r="F517" s="25"/>
      <c r="G517" s="26" t="s">
        <v>6</v>
      </c>
      <c r="H517" s="27" t="s">
        <v>7</v>
      </c>
      <c r="I517" s="26" t="s">
        <v>6</v>
      </c>
      <c r="J517" s="27" t="s">
        <v>7</v>
      </c>
      <c r="K517" s="25"/>
      <c r="L517" s="26" t="s">
        <v>6</v>
      </c>
      <c r="M517" s="27" t="s">
        <v>8</v>
      </c>
    </row>
    <row r="518" spans="1:13" ht="12">
      <c r="A518" s="21" t="s">
        <v>1</v>
      </c>
      <c r="B518" s="21" t="s">
        <v>1</v>
      </c>
      <c r="C518" s="21" t="s">
        <v>1</v>
      </c>
      <c r="D518" s="21" t="s">
        <v>1</v>
      </c>
      <c r="E518" s="21" t="s">
        <v>1</v>
      </c>
      <c r="F518" s="21" t="s">
        <v>1</v>
      </c>
      <c r="G518" s="21"/>
      <c r="H518" s="21"/>
      <c r="I518" s="22" t="s">
        <v>1</v>
      </c>
      <c r="J518" s="23" t="s">
        <v>1</v>
      </c>
      <c r="K518" s="21" t="s">
        <v>1</v>
      </c>
      <c r="L518" s="22" t="s">
        <v>1</v>
      </c>
      <c r="M518" s="23" t="s">
        <v>1</v>
      </c>
    </row>
    <row r="519" spans="1:13" ht="12">
      <c r="A519" s="11">
        <v>1</v>
      </c>
      <c r="C519" s="12" t="s">
        <v>36</v>
      </c>
      <c r="E519" s="11">
        <v>1</v>
      </c>
      <c r="F519" s="13"/>
      <c r="G519" s="109">
        <v>1.1</v>
      </c>
      <c r="H519" s="2">
        <v>117950</v>
      </c>
      <c r="I519" s="109">
        <f>0.1+1</f>
        <v>1.1</v>
      </c>
      <c r="J519" s="1">
        <f>104141+3415+60236</f>
        <v>167792</v>
      </c>
      <c r="K519" s="110"/>
      <c r="L519" s="109">
        <f>0.5+0+1.25</f>
        <v>1.75</v>
      </c>
      <c r="M519" s="1">
        <f>9737+6672+44818</f>
        <v>61227</v>
      </c>
    </row>
    <row r="520" spans="1:13" ht="12">
      <c r="A520" s="11">
        <v>2</v>
      </c>
      <c r="C520" s="12" t="s">
        <v>37</v>
      </c>
      <c r="E520" s="11">
        <v>2</v>
      </c>
      <c r="F520" s="13"/>
      <c r="G520" s="109"/>
      <c r="H520" s="2">
        <v>1003</v>
      </c>
      <c r="I520" s="109"/>
      <c r="J520" s="1">
        <f>134852+35+25166+153</f>
        <v>160206</v>
      </c>
      <c r="K520" s="110"/>
      <c r="L520" s="109"/>
      <c r="M520" s="1">
        <f>73911</f>
        <v>73911</v>
      </c>
    </row>
    <row r="521" spans="1:13" ht="12">
      <c r="A521" s="11">
        <v>3</v>
      </c>
      <c r="C521" s="12" t="s">
        <v>34</v>
      </c>
      <c r="E521" s="11">
        <v>3</v>
      </c>
      <c r="F521" s="13"/>
      <c r="G521" s="109">
        <v>0</v>
      </c>
      <c r="H521" s="2">
        <v>0</v>
      </c>
      <c r="I521" s="109">
        <v>0</v>
      </c>
      <c r="J521" s="1">
        <v>2000</v>
      </c>
      <c r="K521" s="110"/>
      <c r="L521" s="109">
        <v>0</v>
      </c>
      <c r="M521" s="1">
        <v>0</v>
      </c>
    </row>
    <row r="522" spans="1:13" ht="12">
      <c r="A522" s="11">
        <v>4</v>
      </c>
      <c r="C522" s="12" t="s">
        <v>23</v>
      </c>
      <c r="E522" s="11">
        <v>4</v>
      </c>
      <c r="F522" s="13"/>
      <c r="G522" s="109">
        <f>SUM(G519:G521)</f>
        <v>1.1</v>
      </c>
      <c r="H522" s="2">
        <f>SUM(H519:H521)</f>
        <v>118953</v>
      </c>
      <c r="I522" s="109">
        <f>SUM(I519:I521)</f>
        <v>1.1</v>
      </c>
      <c r="J522" s="1">
        <f>SUM(J519:J521)</f>
        <v>329998</v>
      </c>
      <c r="K522" s="30"/>
      <c r="L522" s="109">
        <f>SUM(L519:L521)</f>
        <v>1.75</v>
      </c>
      <c r="M522" s="1">
        <f>SUM(M519:M521)</f>
        <v>135138</v>
      </c>
    </row>
    <row r="523" spans="1:13" ht="12">
      <c r="A523" s="11">
        <v>5</v>
      </c>
      <c r="E523" s="11">
        <v>5</v>
      </c>
      <c r="F523" s="13"/>
      <c r="G523" s="109"/>
      <c r="H523" s="2"/>
      <c r="I523" s="109"/>
      <c r="J523" s="1"/>
      <c r="K523" s="30"/>
      <c r="L523" s="109"/>
      <c r="M523" s="1"/>
    </row>
    <row r="524" spans="1:13" ht="12">
      <c r="A524" s="11">
        <v>6</v>
      </c>
      <c r="C524" s="12" t="s">
        <v>24</v>
      </c>
      <c r="E524" s="11">
        <v>6</v>
      </c>
      <c r="F524" s="13"/>
      <c r="G524" s="109">
        <v>0</v>
      </c>
      <c r="H524" s="2"/>
      <c r="I524" s="109">
        <v>0</v>
      </c>
      <c r="J524" s="1"/>
      <c r="K524" s="110"/>
      <c r="L524" s="109">
        <v>0</v>
      </c>
      <c r="M524" s="1"/>
    </row>
    <row r="525" spans="1:13" ht="12">
      <c r="A525" s="11">
        <v>7</v>
      </c>
      <c r="C525" s="12" t="s">
        <v>25</v>
      </c>
      <c r="E525" s="11">
        <v>7</v>
      </c>
      <c r="F525" s="13"/>
      <c r="G525" s="109">
        <v>0.3</v>
      </c>
      <c r="H525" s="2">
        <v>6751</v>
      </c>
      <c r="I525" s="109">
        <v>0.31</v>
      </c>
      <c r="J525" s="1">
        <v>15281</v>
      </c>
      <c r="K525" s="110"/>
      <c r="L525" s="109">
        <v>0</v>
      </c>
      <c r="M525" s="1">
        <v>10346</v>
      </c>
    </row>
    <row r="526" spans="1:13" ht="12">
      <c r="A526" s="11">
        <v>8</v>
      </c>
      <c r="C526" s="12" t="s">
        <v>26</v>
      </c>
      <c r="E526" s="11">
        <v>8</v>
      </c>
      <c r="F526" s="13"/>
      <c r="G526" s="109"/>
      <c r="H526" s="2">
        <v>871</v>
      </c>
      <c r="I526" s="109"/>
      <c r="J526" s="1">
        <v>4387</v>
      </c>
      <c r="K526" s="110"/>
      <c r="L526" s="109"/>
      <c r="M526" s="1">
        <v>43262</v>
      </c>
    </row>
    <row r="527" spans="1:13" ht="12">
      <c r="A527" s="11">
        <v>9</v>
      </c>
      <c r="C527" s="12" t="s">
        <v>27</v>
      </c>
      <c r="E527" s="11">
        <v>9</v>
      </c>
      <c r="F527" s="13"/>
      <c r="G527" s="109">
        <f>SUM(G524:G526)</f>
        <v>0.3</v>
      </c>
      <c r="H527" s="2">
        <f>SUM(H524:H526)</f>
        <v>7622</v>
      </c>
      <c r="I527" s="109">
        <f>SUM(I524:I526)</f>
        <v>0.31</v>
      </c>
      <c r="J527" s="1">
        <f>SUM(J524:J526)</f>
        <v>19668</v>
      </c>
      <c r="K527" s="31"/>
      <c r="L527" s="109">
        <f>SUM(L524:L526)</f>
        <v>0</v>
      </c>
      <c r="M527" s="1">
        <f>SUM(M524:M526)</f>
        <v>53608</v>
      </c>
    </row>
    <row r="528" spans="1:13" ht="12">
      <c r="A528" s="11">
        <v>10</v>
      </c>
      <c r="E528" s="11">
        <v>10</v>
      </c>
      <c r="F528" s="13"/>
      <c r="G528" s="109"/>
      <c r="H528" s="2"/>
      <c r="I528" s="82"/>
      <c r="J528" s="1"/>
      <c r="K528" s="30"/>
      <c r="L528" s="82"/>
      <c r="M528" s="1"/>
    </row>
    <row r="529" spans="1:13" ht="12">
      <c r="A529" s="11">
        <v>11</v>
      </c>
      <c r="C529" s="12" t="s">
        <v>28</v>
      </c>
      <c r="E529" s="11">
        <v>11</v>
      </c>
      <c r="G529" s="111">
        <f>SUM(G522+G527)</f>
        <v>1.4000000000000001</v>
      </c>
      <c r="H529" s="65">
        <f>SUM(H522+H527)</f>
        <v>126575</v>
      </c>
      <c r="I529" s="111">
        <f>SUM(I522+I527)</f>
        <v>1.4100000000000001</v>
      </c>
      <c r="J529" s="100">
        <f>SUM(J522+J527)</f>
        <v>349666</v>
      </c>
      <c r="K529" s="30"/>
      <c r="L529" s="111">
        <f>SUM(L522+L527)</f>
        <v>1.75</v>
      </c>
      <c r="M529" s="100">
        <f>SUM(M522+M527)</f>
        <v>188746</v>
      </c>
    </row>
    <row r="530" spans="1:13" ht="12">
      <c r="A530" s="11">
        <v>12</v>
      </c>
      <c r="E530" s="11">
        <v>12</v>
      </c>
      <c r="G530" s="111"/>
      <c r="H530" s="65"/>
      <c r="I530" s="111"/>
      <c r="J530" s="100"/>
      <c r="K530" s="30"/>
      <c r="L530" s="111"/>
      <c r="M530" s="100"/>
    </row>
    <row r="531" spans="1:13" ht="12">
      <c r="A531" s="11">
        <v>13</v>
      </c>
      <c r="C531" s="12" t="s">
        <v>29</v>
      </c>
      <c r="E531" s="11">
        <v>13</v>
      </c>
      <c r="F531" s="13"/>
      <c r="G531" s="109"/>
      <c r="H531" s="2">
        <v>5408</v>
      </c>
      <c r="I531" s="109"/>
      <c r="J531" s="1">
        <f>63758+114</f>
        <v>63872</v>
      </c>
      <c r="K531" s="110"/>
      <c r="L531" s="109"/>
      <c r="M531" s="1">
        <v>725</v>
      </c>
    </row>
    <row r="532" spans="1:13" ht="12">
      <c r="A532" s="11">
        <v>14</v>
      </c>
      <c r="E532" s="11">
        <v>14</v>
      </c>
      <c r="F532" s="13"/>
      <c r="G532" s="109"/>
      <c r="H532" s="2"/>
      <c r="I532" s="109"/>
      <c r="J532" s="1"/>
      <c r="K532" s="110"/>
      <c r="L532" s="109"/>
      <c r="M532" s="1"/>
    </row>
    <row r="533" spans="1:13" ht="12">
      <c r="A533" s="11">
        <v>15</v>
      </c>
      <c r="C533" s="12" t="s">
        <v>30</v>
      </c>
      <c r="E533" s="11">
        <v>15</v>
      </c>
      <c r="F533" s="13"/>
      <c r="G533" s="109"/>
      <c r="H533" s="2">
        <v>24199</v>
      </c>
      <c r="I533" s="109"/>
      <c r="J533" s="1">
        <v>32209</v>
      </c>
      <c r="K533" s="110"/>
      <c r="L533" s="109"/>
      <c r="M533" s="1">
        <v>-5048</v>
      </c>
    </row>
    <row r="534" spans="1:13" ht="12">
      <c r="A534" s="11">
        <v>16</v>
      </c>
      <c r="C534" s="12" t="s">
        <v>31</v>
      </c>
      <c r="E534" s="11">
        <v>16</v>
      </c>
      <c r="F534" s="13"/>
      <c r="G534" s="109"/>
      <c r="H534" s="2">
        <v>90542</v>
      </c>
      <c r="I534" s="109"/>
      <c r="J534" s="1">
        <v>94328</v>
      </c>
      <c r="K534" s="110"/>
      <c r="L534" s="109"/>
      <c r="M534" s="1"/>
    </row>
    <row r="535" spans="1:13" ht="12">
      <c r="A535" s="11"/>
      <c r="C535" s="12"/>
      <c r="E535" s="11"/>
      <c r="G535" s="109"/>
      <c r="H535" s="2"/>
      <c r="I535" s="109"/>
      <c r="J535" s="1"/>
      <c r="K535" s="110"/>
      <c r="L535" s="109"/>
      <c r="M535" s="1"/>
    </row>
    <row r="536" spans="1:13" ht="12">
      <c r="A536" s="11">
        <v>17</v>
      </c>
      <c r="C536" s="12" t="s">
        <v>32</v>
      </c>
      <c r="E536" s="11">
        <v>17</v>
      </c>
      <c r="G536" s="109"/>
      <c r="H536" s="2">
        <v>0</v>
      </c>
      <c r="I536" s="109"/>
      <c r="J536" s="1">
        <v>2490</v>
      </c>
      <c r="K536" s="110"/>
      <c r="L536" s="109"/>
      <c r="M536" s="1">
        <v>0</v>
      </c>
    </row>
    <row r="537" spans="1:13" ht="12">
      <c r="A537" s="11">
        <v>18</v>
      </c>
      <c r="C537" s="12"/>
      <c r="E537" s="11">
        <v>18</v>
      </c>
      <c r="G537" s="109"/>
      <c r="H537" s="2"/>
      <c r="I537" s="109"/>
      <c r="J537" s="98"/>
      <c r="K537" s="13"/>
      <c r="L537" s="109"/>
      <c r="M537" s="98"/>
    </row>
    <row r="538" spans="1:13" ht="12">
      <c r="A538" s="11">
        <v>19</v>
      </c>
      <c r="C538" s="12"/>
      <c r="E538" s="11">
        <v>19</v>
      </c>
      <c r="G538" s="109"/>
      <c r="H538" s="2"/>
      <c r="I538" s="109"/>
      <c r="J538" s="98"/>
      <c r="K538" s="13"/>
      <c r="L538" s="109"/>
      <c r="M538" s="98"/>
    </row>
    <row r="539" spans="1:13" ht="12">
      <c r="A539" s="11">
        <v>20</v>
      </c>
      <c r="C539" s="12"/>
      <c r="E539" s="11">
        <v>20</v>
      </c>
      <c r="G539" s="109"/>
      <c r="H539" s="2"/>
      <c r="I539" s="109"/>
      <c r="J539" s="98"/>
      <c r="K539" s="13"/>
      <c r="L539" s="109"/>
      <c r="M539" s="98"/>
    </row>
    <row r="540" spans="1:13" ht="12">
      <c r="A540" s="11">
        <v>21</v>
      </c>
      <c r="C540" s="12"/>
      <c r="E540" s="11">
        <v>21</v>
      </c>
      <c r="G540" s="109"/>
      <c r="H540" s="2"/>
      <c r="I540" s="109"/>
      <c r="J540" s="98"/>
      <c r="K540" s="13"/>
      <c r="L540" s="109"/>
      <c r="M540" s="98"/>
    </row>
    <row r="541" spans="1:13" ht="12">
      <c r="A541" s="11">
        <v>22</v>
      </c>
      <c r="C541" s="12"/>
      <c r="E541" s="11">
        <v>22</v>
      </c>
      <c r="G541" s="109"/>
      <c r="H541" s="2"/>
      <c r="I541" s="109"/>
      <c r="J541" s="98"/>
      <c r="K541" s="13"/>
      <c r="L541" s="109"/>
      <c r="M541" s="98"/>
    </row>
    <row r="542" spans="1:13" ht="12">
      <c r="A542" s="11">
        <v>23</v>
      </c>
      <c r="C542" s="12"/>
      <c r="E542" s="11">
        <v>23</v>
      </c>
      <c r="G542" s="109"/>
      <c r="H542" s="2"/>
      <c r="I542" s="109"/>
      <c r="J542" s="98"/>
      <c r="K542" s="13"/>
      <c r="L542" s="109"/>
      <c r="M542" s="98"/>
    </row>
    <row r="543" spans="1:13" ht="12">
      <c r="A543" s="11">
        <v>24</v>
      </c>
      <c r="C543" s="12"/>
      <c r="E543" s="11">
        <v>24</v>
      </c>
      <c r="G543" s="109"/>
      <c r="H543" s="2"/>
      <c r="I543" s="109"/>
      <c r="J543" s="98"/>
      <c r="K543" s="13"/>
      <c r="L543" s="109"/>
      <c r="M543" s="98"/>
    </row>
    <row r="544" spans="1:13" ht="12">
      <c r="A544" s="11"/>
      <c r="E544" s="11"/>
      <c r="F544" s="112" t="s">
        <v>203</v>
      </c>
      <c r="G544" s="113"/>
      <c r="H544" s="13"/>
      <c r="I544" s="113"/>
      <c r="J544" s="15"/>
      <c r="K544" s="13"/>
      <c r="L544" s="113"/>
      <c r="M544" s="23" t="s">
        <v>1</v>
      </c>
    </row>
    <row r="545" spans="1:13" ht="12">
      <c r="A545" s="11">
        <v>25</v>
      </c>
      <c r="C545" s="12" t="s">
        <v>235</v>
      </c>
      <c r="E545" s="11">
        <v>25</v>
      </c>
      <c r="G545" s="111">
        <f>SUM(G529:G538)</f>
        <v>1.4000000000000001</v>
      </c>
      <c r="H545" s="100">
        <f>SUM(H529:H538)</f>
        <v>246724</v>
      </c>
      <c r="I545" s="111">
        <f>SUM(I529:I538)</f>
        <v>1.4100000000000001</v>
      </c>
      <c r="J545" s="100">
        <f>SUM(J529:J538)</f>
        <v>542565</v>
      </c>
      <c r="K545" s="30"/>
      <c r="L545" s="111">
        <f>SUM(L529:L538)</f>
        <v>1.75</v>
      </c>
      <c r="M545" s="100">
        <f>SUM(M529:M538)</f>
        <v>184423</v>
      </c>
    </row>
    <row r="546" spans="5:13" ht="12">
      <c r="E546" s="50"/>
      <c r="F546" s="90" t="s">
        <v>1</v>
      </c>
      <c r="G546" s="90"/>
      <c r="H546" s="90"/>
      <c r="I546" s="22" t="s">
        <v>1</v>
      </c>
      <c r="J546" s="23" t="s">
        <v>1</v>
      </c>
      <c r="K546" s="90" t="s">
        <v>1</v>
      </c>
      <c r="L546" s="22" t="s">
        <v>1</v>
      </c>
      <c r="M546" s="23" t="s">
        <v>1</v>
      </c>
    </row>
    <row r="547" spans="1:13" ht="12">
      <c r="A547" s="12"/>
      <c r="J547" s="55"/>
      <c r="M547" s="55"/>
    </row>
    <row r="548" spans="10:13" ht="12">
      <c r="J548" s="55"/>
      <c r="M548" s="55"/>
    </row>
    <row r="549" spans="1:13" ht="12">
      <c r="A549" s="19" t="str">
        <f>$A$36</f>
        <v>Institution No.:  GFC</v>
      </c>
      <c r="B549" s="46"/>
      <c r="C549" s="46"/>
      <c r="D549" s="46"/>
      <c r="E549" s="51"/>
      <c r="F549" s="46"/>
      <c r="G549" s="46"/>
      <c r="H549" s="46"/>
      <c r="I549" s="52"/>
      <c r="J549" s="53"/>
      <c r="K549" s="46"/>
      <c r="L549" s="52"/>
      <c r="M549" s="18" t="s">
        <v>35</v>
      </c>
    </row>
    <row r="550" spans="1:13" s="46" customFormat="1" ht="12">
      <c r="A550" s="274" t="s">
        <v>150</v>
      </c>
      <c r="B550" s="274"/>
      <c r="C550" s="274"/>
      <c r="D550" s="274"/>
      <c r="E550" s="274"/>
      <c r="F550" s="274"/>
      <c r="G550" s="274"/>
      <c r="H550" s="274"/>
      <c r="I550" s="274"/>
      <c r="J550" s="274"/>
      <c r="K550" s="274"/>
      <c r="L550" s="274"/>
      <c r="M550" s="274"/>
    </row>
    <row r="551" spans="1:13" s="46" customFormat="1" ht="12">
      <c r="A551" s="19" t="s">
        <v>664</v>
      </c>
      <c r="B551" s="7"/>
      <c r="C551" s="7" t="s">
        <v>540</v>
      </c>
      <c r="D551" s="7"/>
      <c r="E551" s="7"/>
      <c r="F551" s="7"/>
      <c r="G551" s="7"/>
      <c r="H551" s="7"/>
      <c r="I551" s="103"/>
      <c r="J551" s="86"/>
      <c r="K551" s="7"/>
      <c r="L551" s="17"/>
      <c r="M551" s="20" t="str">
        <f>$M$3</f>
        <v>Date: 10/1/2008</v>
      </c>
    </row>
    <row r="552" spans="1:13" ht="12">
      <c r="A552" s="21" t="s">
        <v>1</v>
      </c>
      <c r="B552" s="21" t="s">
        <v>1</v>
      </c>
      <c r="C552" s="21" t="s">
        <v>1</v>
      </c>
      <c r="D552" s="21" t="s">
        <v>1</v>
      </c>
      <c r="E552" s="21" t="s">
        <v>1</v>
      </c>
      <c r="F552" s="21" t="s">
        <v>1</v>
      </c>
      <c r="G552" s="21"/>
      <c r="H552" s="21"/>
      <c r="I552" s="22" t="s">
        <v>1</v>
      </c>
      <c r="J552" s="23" t="s">
        <v>1</v>
      </c>
      <c r="K552" s="21" t="s">
        <v>1</v>
      </c>
      <c r="L552" s="22" t="s">
        <v>1</v>
      </c>
      <c r="M552" s="23" t="s">
        <v>1</v>
      </c>
    </row>
    <row r="553" spans="1:13" ht="12">
      <c r="A553" s="24" t="s">
        <v>2</v>
      </c>
      <c r="E553" s="24" t="s">
        <v>2</v>
      </c>
      <c r="F553" s="25"/>
      <c r="G553" s="26"/>
      <c r="H553" s="25" t="s">
        <v>249</v>
      </c>
      <c r="I553" s="26"/>
      <c r="J553" s="27" t="s">
        <v>251</v>
      </c>
      <c r="K553" s="25"/>
      <c r="L553" s="26"/>
      <c r="M553" s="27" t="s">
        <v>260</v>
      </c>
    </row>
    <row r="554" spans="1:13" ht="12">
      <c r="A554" s="24" t="s">
        <v>4</v>
      </c>
      <c r="C554" s="28" t="s">
        <v>20</v>
      </c>
      <c r="E554" s="24" t="s">
        <v>4</v>
      </c>
      <c r="F554" s="25"/>
      <c r="G554" s="26" t="s">
        <v>6</v>
      </c>
      <c r="H554" s="27" t="s">
        <v>7</v>
      </c>
      <c r="I554" s="26" t="s">
        <v>6</v>
      </c>
      <c r="J554" s="27" t="s">
        <v>7</v>
      </c>
      <c r="K554" s="25"/>
      <c r="L554" s="26" t="s">
        <v>6</v>
      </c>
      <c r="M554" s="27" t="s">
        <v>8</v>
      </c>
    </row>
    <row r="555" spans="1:13" ht="12">
      <c r="A555" s="21" t="s">
        <v>1</v>
      </c>
      <c r="B555" s="21" t="s">
        <v>1</v>
      </c>
      <c r="C555" s="21" t="s">
        <v>1</v>
      </c>
      <c r="D555" s="21" t="s">
        <v>1</v>
      </c>
      <c r="E555" s="21" t="s">
        <v>1</v>
      </c>
      <c r="F555" s="21" t="s">
        <v>1</v>
      </c>
      <c r="G555" s="21"/>
      <c r="H555" s="21"/>
      <c r="I555" s="22" t="s">
        <v>1</v>
      </c>
      <c r="J555" s="23" t="s">
        <v>1</v>
      </c>
      <c r="K555" s="21" t="s">
        <v>1</v>
      </c>
      <c r="L555" s="22" t="s">
        <v>1</v>
      </c>
      <c r="M555" s="23" t="s">
        <v>1</v>
      </c>
    </row>
    <row r="556" spans="1:13" ht="12">
      <c r="A556" s="11">
        <v>1</v>
      </c>
      <c r="C556" s="12" t="s">
        <v>36</v>
      </c>
      <c r="E556" s="11">
        <v>1</v>
      </c>
      <c r="F556" s="13"/>
      <c r="G556" s="165">
        <v>0</v>
      </c>
      <c r="H556" s="166">
        <v>10333</v>
      </c>
      <c r="I556" s="117">
        <v>0</v>
      </c>
      <c r="J556" s="2">
        <f>667+1600</f>
        <v>2267</v>
      </c>
      <c r="K556" s="110"/>
      <c r="L556" s="167">
        <v>0</v>
      </c>
      <c r="M556" s="1"/>
    </row>
    <row r="557" spans="1:13" ht="12">
      <c r="A557" s="11">
        <v>2</v>
      </c>
      <c r="C557" s="12" t="s">
        <v>37</v>
      </c>
      <c r="E557" s="11">
        <v>2</v>
      </c>
      <c r="F557" s="13"/>
      <c r="G557" s="165"/>
      <c r="H557" s="166">
        <v>35299</v>
      </c>
      <c r="I557" s="117"/>
      <c r="J557" s="2">
        <f>-17542+7355</f>
        <v>-10187</v>
      </c>
      <c r="K557" s="110"/>
      <c r="L557" s="167"/>
      <c r="M557" s="2"/>
    </row>
    <row r="558" spans="1:13" ht="12">
      <c r="A558" s="11">
        <v>3</v>
      </c>
      <c r="E558" s="11">
        <v>3</v>
      </c>
      <c r="F558" s="13"/>
      <c r="G558" s="165"/>
      <c r="H558" s="165"/>
      <c r="I558" s="117"/>
      <c r="J558" s="2"/>
      <c r="K558" s="110"/>
      <c r="L558" s="167"/>
      <c r="M558" s="2"/>
    </row>
    <row r="559" spans="1:13" ht="12">
      <c r="A559" s="11">
        <v>4</v>
      </c>
      <c r="C559" s="12" t="s">
        <v>23</v>
      </c>
      <c r="E559" s="11">
        <v>4</v>
      </c>
      <c r="F559" s="13"/>
      <c r="G559" s="165">
        <f>SUM(G556:G558)</f>
        <v>0</v>
      </c>
      <c r="H559" s="166">
        <f>SUM(H556:H558)</f>
        <v>45632</v>
      </c>
      <c r="I559" s="117">
        <f>SUM(I556:I558)</f>
        <v>0</v>
      </c>
      <c r="J559" s="2">
        <f>SUM(J556:J558)</f>
        <v>-7920</v>
      </c>
      <c r="K559" s="30"/>
      <c r="L559" s="167">
        <f>SUM(L556:L558)</f>
        <v>0</v>
      </c>
      <c r="M559" s="2">
        <f>SUM(M556:M558)</f>
        <v>0</v>
      </c>
    </row>
    <row r="560" spans="1:13" ht="12">
      <c r="A560" s="11">
        <v>5</v>
      </c>
      <c r="E560" s="11">
        <v>5</v>
      </c>
      <c r="F560" s="13"/>
      <c r="G560" s="165"/>
      <c r="H560" s="166"/>
      <c r="I560" s="117"/>
      <c r="J560" s="2"/>
      <c r="K560" s="30"/>
      <c r="L560" s="167"/>
      <c r="M560" s="2"/>
    </row>
    <row r="561" spans="1:13" ht="12">
      <c r="A561" s="11">
        <v>6</v>
      </c>
      <c r="E561" s="11">
        <v>6</v>
      </c>
      <c r="F561" s="13"/>
      <c r="G561" s="165"/>
      <c r="H561" s="166"/>
      <c r="I561" s="117"/>
      <c r="J561" s="2"/>
      <c r="K561" s="30"/>
      <c r="L561" s="167"/>
      <c r="M561" s="2"/>
    </row>
    <row r="562" spans="1:13" ht="12">
      <c r="A562" s="11">
        <v>7</v>
      </c>
      <c r="C562" s="12" t="s">
        <v>25</v>
      </c>
      <c r="E562" s="11">
        <v>7</v>
      </c>
      <c r="F562" s="13"/>
      <c r="G562" s="165">
        <v>0</v>
      </c>
      <c r="H562" s="166">
        <v>0</v>
      </c>
      <c r="I562" s="117">
        <v>0</v>
      </c>
      <c r="J562" s="2">
        <v>0</v>
      </c>
      <c r="K562" s="110"/>
      <c r="L562" s="167">
        <v>0</v>
      </c>
      <c r="M562" s="2">
        <v>0</v>
      </c>
    </row>
    <row r="563" spans="1:13" ht="12">
      <c r="A563" s="11">
        <v>8</v>
      </c>
      <c r="C563" s="12" t="s">
        <v>26</v>
      </c>
      <c r="E563" s="11">
        <v>8</v>
      </c>
      <c r="F563" s="13"/>
      <c r="G563" s="165"/>
      <c r="H563" s="166">
        <v>0</v>
      </c>
      <c r="I563" s="117"/>
      <c r="J563" s="2">
        <v>169</v>
      </c>
      <c r="K563" s="110"/>
      <c r="L563" s="167"/>
      <c r="M563" s="2">
        <v>0</v>
      </c>
    </row>
    <row r="564" spans="1:13" ht="12">
      <c r="A564" s="11">
        <v>9</v>
      </c>
      <c r="C564" s="12" t="s">
        <v>27</v>
      </c>
      <c r="E564" s="11">
        <v>9</v>
      </c>
      <c r="F564" s="13"/>
      <c r="G564" s="165">
        <f>SUM(G562:G563)</f>
        <v>0</v>
      </c>
      <c r="H564" s="166">
        <f>SUM(H562:H563)</f>
        <v>0</v>
      </c>
      <c r="I564" s="117">
        <f>SUM(I562:I563)</f>
        <v>0</v>
      </c>
      <c r="J564" s="2">
        <f>SUM(J562:J563)</f>
        <v>169</v>
      </c>
      <c r="K564" s="31"/>
      <c r="L564" s="167">
        <f>SUM(L562:L563)</f>
        <v>0</v>
      </c>
      <c r="M564" s="2">
        <f>SUM(M562:M563)</f>
        <v>0</v>
      </c>
    </row>
    <row r="565" spans="1:13" ht="12">
      <c r="A565" s="11">
        <v>10</v>
      </c>
      <c r="E565" s="11">
        <v>10</v>
      </c>
      <c r="F565" s="13"/>
      <c r="G565" s="165"/>
      <c r="H565" s="166"/>
      <c r="I565" s="117"/>
      <c r="J565" s="2"/>
      <c r="K565" s="30"/>
      <c r="L565" s="167"/>
      <c r="M565" s="2"/>
    </row>
    <row r="566" spans="1:13" ht="12">
      <c r="A566" s="11">
        <v>11</v>
      </c>
      <c r="C566" s="12" t="s">
        <v>28</v>
      </c>
      <c r="E566" s="11">
        <v>11</v>
      </c>
      <c r="G566" s="169">
        <f>SUM(G559,G564)</f>
        <v>0</v>
      </c>
      <c r="H566" s="170">
        <f>SUM(H564,H559)</f>
        <v>45632</v>
      </c>
      <c r="I566" s="118">
        <f>SUM(I559,I564)</f>
        <v>0</v>
      </c>
      <c r="J566" s="65">
        <f>SUM(J564,J559)</f>
        <v>-7751</v>
      </c>
      <c r="K566" s="31"/>
      <c r="L566" s="171">
        <f>SUM(L559,L564)</f>
        <v>0</v>
      </c>
      <c r="M566" s="65">
        <f>SUM(M564,M559)</f>
        <v>0</v>
      </c>
    </row>
    <row r="567" spans="1:13" ht="12">
      <c r="A567" s="11">
        <v>12</v>
      </c>
      <c r="E567" s="11">
        <v>12</v>
      </c>
      <c r="G567" s="169"/>
      <c r="H567" s="170"/>
      <c r="I567" s="115"/>
      <c r="J567" s="65"/>
      <c r="K567" s="30"/>
      <c r="L567" s="64"/>
      <c r="M567" s="65"/>
    </row>
    <row r="568" spans="1:13" ht="12">
      <c r="A568" s="11">
        <v>13</v>
      </c>
      <c r="C568" s="12" t="s">
        <v>38</v>
      </c>
      <c r="E568" s="11">
        <v>13</v>
      </c>
      <c r="F568" s="13"/>
      <c r="G568" s="165"/>
      <c r="H568" s="166"/>
      <c r="I568" s="114"/>
      <c r="J568" s="2">
        <f>400+6</f>
        <v>406</v>
      </c>
      <c r="K568" s="110"/>
      <c r="L568" s="67"/>
      <c r="M568" s="2"/>
    </row>
    <row r="569" spans="1:13" ht="12">
      <c r="A569" s="11">
        <v>14</v>
      </c>
      <c r="E569" s="11">
        <v>14</v>
      </c>
      <c r="F569" s="13"/>
      <c r="G569" s="165"/>
      <c r="H569" s="166"/>
      <c r="I569" s="114"/>
      <c r="J569" s="2"/>
      <c r="K569" s="110"/>
      <c r="L569" s="67"/>
      <c r="M569" s="2"/>
    </row>
    <row r="570" spans="1:13" ht="12">
      <c r="A570" s="11">
        <v>15</v>
      </c>
      <c r="C570" s="12" t="s">
        <v>30</v>
      </c>
      <c r="E570" s="11">
        <v>15</v>
      </c>
      <c r="F570" s="13"/>
      <c r="G570" s="165"/>
      <c r="H570" s="166">
        <v>1558</v>
      </c>
      <c r="I570" s="114"/>
      <c r="J570" s="2">
        <v>3075</v>
      </c>
      <c r="K570" s="110"/>
      <c r="L570" s="67"/>
      <c r="M570" s="2"/>
    </row>
    <row r="571" spans="1:13" ht="12">
      <c r="A571" s="11">
        <v>16</v>
      </c>
      <c r="C571" s="12" t="s">
        <v>31</v>
      </c>
      <c r="E571" s="11">
        <v>16</v>
      </c>
      <c r="F571" s="13"/>
      <c r="G571" s="165"/>
      <c r="H571" s="166">
        <v>8463</v>
      </c>
      <c r="I571" s="114"/>
      <c r="J571" s="2">
        <v>9324</v>
      </c>
      <c r="K571" s="110"/>
      <c r="L571" s="67"/>
      <c r="M571" s="2">
        <v>800</v>
      </c>
    </row>
    <row r="572" spans="1:13" ht="12">
      <c r="A572" s="11"/>
      <c r="C572" s="12"/>
      <c r="E572" s="11"/>
      <c r="F572" s="13"/>
      <c r="G572" s="165"/>
      <c r="H572" s="166"/>
      <c r="I572" s="114"/>
      <c r="J572" s="2"/>
      <c r="K572" s="110"/>
      <c r="L572" s="67"/>
      <c r="M572" s="2"/>
    </row>
    <row r="573" spans="1:13" ht="12">
      <c r="A573" s="11">
        <v>17</v>
      </c>
      <c r="C573" s="12" t="s">
        <v>32</v>
      </c>
      <c r="E573" s="11">
        <v>17</v>
      </c>
      <c r="F573" s="13"/>
      <c r="G573" s="165"/>
      <c r="H573" s="166"/>
      <c r="I573" s="114"/>
      <c r="J573" s="2"/>
      <c r="K573" s="110"/>
      <c r="L573" s="67"/>
      <c r="M573" s="2">
        <v>0</v>
      </c>
    </row>
    <row r="574" spans="1:13" ht="12">
      <c r="A574" s="11">
        <v>18</v>
      </c>
      <c r="C574" s="12"/>
      <c r="E574" s="11">
        <v>18</v>
      </c>
      <c r="F574" s="13"/>
      <c r="G574" s="165"/>
      <c r="H574" s="166"/>
      <c r="I574" s="114"/>
      <c r="J574" s="2"/>
      <c r="K574" s="110"/>
      <c r="L574" s="67"/>
      <c r="M574" s="2"/>
    </row>
    <row r="575" spans="1:13" ht="12">
      <c r="A575" s="11">
        <v>19</v>
      </c>
      <c r="C575" s="12"/>
      <c r="E575" s="11">
        <v>19</v>
      </c>
      <c r="F575" s="13"/>
      <c r="G575" s="165"/>
      <c r="H575" s="166"/>
      <c r="I575" s="114"/>
      <c r="J575" s="2"/>
      <c r="K575" s="110"/>
      <c r="L575" s="67"/>
      <c r="M575" s="2"/>
    </row>
    <row r="576" spans="1:13" ht="12">
      <c r="A576" s="11">
        <v>20</v>
      </c>
      <c r="C576" s="12"/>
      <c r="E576" s="11">
        <v>20</v>
      </c>
      <c r="F576" s="13"/>
      <c r="G576" s="165"/>
      <c r="H576" s="166"/>
      <c r="I576" s="114"/>
      <c r="J576" s="2"/>
      <c r="K576" s="110"/>
      <c r="L576" s="67"/>
      <c r="M576" s="2"/>
    </row>
    <row r="577" spans="1:13" ht="12">
      <c r="A577" s="11">
        <v>21</v>
      </c>
      <c r="C577" s="12"/>
      <c r="E577" s="11">
        <v>21</v>
      </c>
      <c r="F577" s="13"/>
      <c r="G577" s="165"/>
      <c r="H577" s="166"/>
      <c r="I577" s="114"/>
      <c r="J577" s="2"/>
      <c r="K577" s="110"/>
      <c r="L577" s="67"/>
      <c r="M577" s="2"/>
    </row>
    <row r="578" spans="1:13" ht="12">
      <c r="A578" s="11">
        <v>22</v>
      </c>
      <c r="C578" s="12"/>
      <c r="E578" s="11">
        <v>22</v>
      </c>
      <c r="F578" s="13"/>
      <c r="G578" s="165"/>
      <c r="H578" s="166"/>
      <c r="I578" s="114"/>
      <c r="J578" s="2"/>
      <c r="K578" s="110"/>
      <c r="L578" s="67"/>
      <c r="M578" s="2"/>
    </row>
    <row r="579" spans="1:13" ht="12">
      <c r="A579" s="11">
        <v>23</v>
      </c>
      <c r="C579" s="12"/>
      <c r="E579" s="11">
        <v>23</v>
      </c>
      <c r="F579" s="13"/>
      <c r="G579" s="165"/>
      <c r="H579" s="166"/>
      <c r="I579" s="114"/>
      <c r="J579" s="2"/>
      <c r="K579" s="110"/>
      <c r="L579" s="67"/>
      <c r="M579" s="2"/>
    </row>
    <row r="580" spans="1:13" ht="12">
      <c r="A580" s="11">
        <v>24</v>
      </c>
      <c r="C580" s="12"/>
      <c r="E580" s="11">
        <v>24</v>
      </c>
      <c r="F580" s="13"/>
      <c r="G580" s="165"/>
      <c r="H580" s="166"/>
      <c r="I580" s="114"/>
      <c r="J580" s="2"/>
      <c r="K580" s="110"/>
      <c r="L580" s="67"/>
      <c r="M580" s="2"/>
    </row>
    <row r="581" spans="5:13" ht="12">
      <c r="E581" s="50"/>
      <c r="F581" s="90" t="s">
        <v>1</v>
      </c>
      <c r="G581" s="123"/>
      <c r="H581" s="23"/>
      <c r="I581" s="23" t="s">
        <v>1</v>
      </c>
      <c r="J581" s="23" t="s">
        <v>1</v>
      </c>
      <c r="K581" s="90" t="s">
        <v>1</v>
      </c>
      <c r="L581" s="23" t="s">
        <v>1</v>
      </c>
      <c r="M581" s="23" t="s">
        <v>1</v>
      </c>
    </row>
    <row r="582" spans="1:13" ht="12">
      <c r="A582" s="11">
        <v>25</v>
      </c>
      <c r="C582" s="12" t="s">
        <v>236</v>
      </c>
      <c r="E582" s="11">
        <v>25</v>
      </c>
      <c r="G582" s="169">
        <f>SUM(G566:G573)</f>
        <v>0</v>
      </c>
      <c r="H582" s="170">
        <f>SUM(H566:H573)</f>
        <v>55653</v>
      </c>
      <c r="I582" s="115">
        <f>SUM(I566:I573)</f>
        <v>0</v>
      </c>
      <c r="J582" s="65">
        <f>SUM(J566:J573)</f>
        <v>5054</v>
      </c>
      <c r="K582" s="65"/>
      <c r="L582" s="64">
        <f>SUM(L566:L573)</f>
        <v>0</v>
      </c>
      <c r="M582" s="65">
        <f>SUM(M566:M573)</f>
        <v>800</v>
      </c>
    </row>
    <row r="583" spans="5:13" ht="12">
      <c r="E583" s="50"/>
      <c r="F583" s="90" t="s">
        <v>1</v>
      </c>
      <c r="G583" s="90"/>
      <c r="H583" s="90"/>
      <c r="I583" s="22" t="s">
        <v>1</v>
      </c>
      <c r="J583" s="23" t="s">
        <v>1</v>
      </c>
      <c r="K583" s="90" t="s">
        <v>1</v>
      </c>
      <c r="L583" s="22" t="s">
        <v>1</v>
      </c>
      <c r="M583" s="23" t="s">
        <v>1</v>
      </c>
    </row>
    <row r="584" spans="1:13" ht="12">
      <c r="A584" s="12"/>
      <c r="J584" s="55"/>
      <c r="M584" s="55"/>
    </row>
    <row r="585" spans="10:13" ht="12">
      <c r="J585" s="55"/>
      <c r="M585" s="55"/>
    </row>
    <row r="586" spans="1:13" ht="12">
      <c r="A586" s="19" t="str">
        <f>$A$36</f>
        <v>Institution No.:  GFC</v>
      </c>
      <c r="B586" s="46"/>
      <c r="C586" s="46"/>
      <c r="D586" s="46"/>
      <c r="E586" s="51"/>
      <c r="F586" s="46"/>
      <c r="G586" s="46"/>
      <c r="H586" s="46"/>
      <c r="I586" s="52"/>
      <c r="J586" s="53"/>
      <c r="K586" s="46"/>
      <c r="L586" s="52"/>
      <c r="M586" s="18" t="s">
        <v>39</v>
      </c>
    </row>
    <row r="587" spans="1:13" s="46" customFormat="1" ht="12">
      <c r="A587" s="274" t="s">
        <v>151</v>
      </c>
      <c r="B587" s="274"/>
      <c r="C587" s="274"/>
      <c r="D587" s="274"/>
      <c r="E587" s="274"/>
      <c r="F587" s="274"/>
      <c r="G587" s="274"/>
      <c r="H587" s="274"/>
      <c r="I587" s="274"/>
      <c r="J587" s="274"/>
      <c r="K587" s="274"/>
      <c r="L587" s="274"/>
      <c r="M587" s="274"/>
    </row>
    <row r="588" spans="1:13" s="46" customFormat="1" ht="12">
      <c r="A588" s="19" t="s">
        <v>664</v>
      </c>
      <c r="B588" s="19"/>
      <c r="C588" s="7" t="s">
        <v>540</v>
      </c>
      <c r="D588" s="7"/>
      <c r="E588" s="7"/>
      <c r="F588" s="7"/>
      <c r="G588" s="7"/>
      <c r="H588" s="7"/>
      <c r="I588" s="103"/>
      <c r="J588" s="86"/>
      <c r="K588" s="7"/>
      <c r="L588" s="17"/>
      <c r="M588" s="20" t="str">
        <f>$M$3</f>
        <v>Date: 10/1/2008</v>
      </c>
    </row>
    <row r="589" spans="1:13" ht="12">
      <c r="A589" s="21" t="s">
        <v>1</v>
      </c>
      <c r="B589" s="21" t="s">
        <v>1</v>
      </c>
      <c r="C589" s="21" t="s">
        <v>1</v>
      </c>
      <c r="D589" s="21" t="s">
        <v>1</v>
      </c>
      <c r="E589" s="21" t="s">
        <v>1</v>
      </c>
      <c r="F589" s="21" t="s">
        <v>1</v>
      </c>
      <c r="G589" s="21"/>
      <c r="H589" s="21"/>
      <c r="I589" s="22" t="s">
        <v>1</v>
      </c>
      <c r="J589" s="23" t="s">
        <v>1</v>
      </c>
      <c r="K589" s="21" t="s">
        <v>1</v>
      </c>
      <c r="L589" s="22" t="s">
        <v>1</v>
      </c>
      <c r="M589" s="23" t="s">
        <v>1</v>
      </c>
    </row>
    <row r="590" spans="1:13" ht="12">
      <c r="A590" s="24" t="s">
        <v>2</v>
      </c>
      <c r="E590" s="24" t="s">
        <v>2</v>
      </c>
      <c r="F590" s="25"/>
      <c r="G590" s="26"/>
      <c r="H590" s="25" t="s">
        <v>249</v>
      </c>
      <c r="I590" s="26"/>
      <c r="J590" s="27" t="s">
        <v>251</v>
      </c>
      <c r="K590" s="25"/>
      <c r="L590" s="26"/>
      <c r="M590" s="27" t="s">
        <v>260</v>
      </c>
    </row>
    <row r="591" spans="1:13" ht="12">
      <c r="A591" s="24" t="s">
        <v>4</v>
      </c>
      <c r="C591" s="28" t="s">
        <v>20</v>
      </c>
      <c r="E591" s="24" t="s">
        <v>4</v>
      </c>
      <c r="F591" s="25"/>
      <c r="G591" s="26" t="s">
        <v>6</v>
      </c>
      <c r="H591" s="27" t="s">
        <v>7</v>
      </c>
      <c r="I591" s="26" t="s">
        <v>6</v>
      </c>
      <c r="J591" s="27" t="s">
        <v>7</v>
      </c>
      <c r="K591" s="25"/>
      <c r="L591" s="26" t="s">
        <v>6</v>
      </c>
      <c r="M591" s="27" t="s">
        <v>8</v>
      </c>
    </row>
    <row r="592" spans="1:13" ht="12">
      <c r="A592" s="21" t="s">
        <v>1</v>
      </c>
      <c r="B592" s="21" t="s">
        <v>1</v>
      </c>
      <c r="C592" s="21" t="s">
        <v>1</v>
      </c>
      <c r="D592" s="21" t="s">
        <v>1</v>
      </c>
      <c r="E592" s="21" t="s">
        <v>1</v>
      </c>
      <c r="F592" s="21" t="s">
        <v>1</v>
      </c>
      <c r="G592" s="21"/>
      <c r="H592" s="21"/>
      <c r="I592" s="22" t="s">
        <v>1</v>
      </c>
      <c r="J592" s="23" t="s">
        <v>1</v>
      </c>
      <c r="K592" s="21" t="s">
        <v>1</v>
      </c>
      <c r="L592" s="116" t="s">
        <v>1</v>
      </c>
      <c r="M592" s="23" t="s">
        <v>1</v>
      </c>
    </row>
    <row r="593" spans="1:13" ht="12">
      <c r="A593" s="11">
        <v>1</v>
      </c>
      <c r="C593" s="12" t="s">
        <v>36</v>
      </c>
      <c r="E593" s="11">
        <v>1</v>
      </c>
      <c r="F593" s="13"/>
      <c r="G593" s="67">
        <v>29.9</v>
      </c>
      <c r="H593" s="1">
        <v>2314465</v>
      </c>
      <c r="I593" s="117">
        <f>11+22.23</f>
        <v>33.230000000000004</v>
      </c>
      <c r="J593" s="1">
        <f>648034+1886654+17389</f>
        <v>2552077</v>
      </c>
      <c r="K593" s="110"/>
      <c r="L593" s="117">
        <f>11.5+0+24.42</f>
        <v>35.92</v>
      </c>
      <c r="M593" s="1">
        <f>880483+2143809</f>
        <v>3024292</v>
      </c>
    </row>
    <row r="594" spans="1:13" ht="12">
      <c r="A594" s="11">
        <v>2</v>
      </c>
      <c r="C594" s="12" t="s">
        <v>37</v>
      </c>
      <c r="E594" s="11">
        <v>2</v>
      </c>
      <c r="F594" s="13"/>
      <c r="G594" s="67"/>
      <c r="H594" s="1">
        <v>601257</v>
      </c>
      <c r="I594" s="117"/>
      <c r="J594" s="1">
        <f>232427+415802+2105</f>
        <v>650334</v>
      </c>
      <c r="K594" s="110"/>
      <c r="L594" s="117"/>
      <c r="M594" s="1">
        <f>698550</f>
        <v>698550</v>
      </c>
    </row>
    <row r="595" spans="1:13" ht="12">
      <c r="A595" s="11">
        <v>3</v>
      </c>
      <c r="E595" s="11">
        <v>3</v>
      </c>
      <c r="F595" s="13"/>
      <c r="G595" s="67"/>
      <c r="H595" s="1"/>
      <c r="I595" s="117"/>
      <c r="J595" s="1"/>
      <c r="K595" s="110"/>
      <c r="L595" s="117"/>
      <c r="M595" s="1"/>
    </row>
    <row r="596" spans="1:13" ht="12">
      <c r="A596" s="11">
        <v>4</v>
      </c>
      <c r="C596" s="12" t="s">
        <v>23</v>
      </c>
      <c r="E596" s="11">
        <v>4</v>
      </c>
      <c r="F596" s="13"/>
      <c r="G596" s="67">
        <f>SUM(G593:G595)</f>
        <v>29.9</v>
      </c>
      <c r="H596" s="1">
        <f>SUM(H593:H595)</f>
        <v>2915722</v>
      </c>
      <c r="I596" s="117">
        <f>SUM(I593:I595)</f>
        <v>33.230000000000004</v>
      </c>
      <c r="J596" s="1">
        <f>SUM(J593:J595)</f>
        <v>3202411</v>
      </c>
      <c r="K596" s="30"/>
      <c r="L596" s="117">
        <f>SUM(L593:L595)</f>
        <v>35.92</v>
      </c>
      <c r="M596" s="1">
        <f>SUM(M593:M595)</f>
        <v>3722842</v>
      </c>
    </row>
    <row r="597" spans="1:13" ht="12">
      <c r="A597" s="11">
        <v>5</v>
      </c>
      <c r="E597" s="11">
        <v>5</v>
      </c>
      <c r="F597" s="13"/>
      <c r="G597" s="67"/>
      <c r="H597" s="1"/>
      <c r="I597" s="117"/>
      <c r="J597" s="1"/>
      <c r="K597" s="30"/>
      <c r="L597" s="117"/>
      <c r="M597" s="1"/>
    </row>
    <row r="598" spans="1:13" ht="12">
      <c r="A598" s="11">
        <v>6</v>
      </c>
      <c r="E598" s="11">
        <v>6</v>
      </c>
      <c r="F598" s="13"/>
      <c r="G598" s="67"/>
      <c r="H598" s="1"/>
      <c r="I598" s="117"/>
      <c r="J598" s="1"/>
      <c r="K598" s="30"/>
      <c r="L598" s="117"/>
      <c r="M598" s="1"/>
    </row>
    <row r="599" spans="1:13" ht="12">
      <c r="A599" s="11">
        <v>7</v>
      </c>
      <c r="C599" s="12" t="s">
        <v>25</v>
      </c>
      <c r="E599" s="11">
        <v>7</v>
      </c>
      <c r="F599" s="13"/>
      <c r="G599" s="67">
        <v>34.4</v>
      </c>
      <c r="H599" s="1">
        <v>1467550</v>
      </c>
      <c r="I599" s="117">
        <v>36.32</v>
      </c>
      <c r="J599" s="1">
        <v>1694112</v>
      </c>
      <c r="K599" s="110"/>
      <c r="L599" s="117">
        <v>40.54</v>
      </c>
      <c r="M599" s="1">
        <v>1987474</v>
      </c>
    </row>
    <row r="600" spans="1:13" ht="12">
      <c r="A600" s="11">
        <v>8</v>
      </c>
      <c r="C600" s="12" t="s">
        <v>26</v>
      </c>
      <c r="E600" s="11">
        <v>8</v>
      </c>
      <c r="F600" s="13"/>
      <c r="G600" s="67"/>
      <c r="H600" s="1">
        <v>304595</v>
      </c>
      <c r="I600" s="117"/>
      <c r="J600" s="1">
        <v>415326</v>
      </c>
      <c r="K600" s="110"/>
      <c r="L600" s="117"/>
      <c r="M600" s="1">
        <v>413671</v>
      </c>
    </row>
    <row r="601" spans="1:13" ht="12">
      <c r="A601" s="11">
        <v>9</v>
      </c>
      <c r="C601" s="12" t="s">
        <v>27</v>
      </c>
      <c r="E601" s="11">
        <v>9</v>
      </c>
      <c r="F601" s="13"/>
      <c r="G601" s="67">
        <f>SUM(G599:G600)</f>
        <v>34.4</v>
      </c>
      <c r="H601" s="1">
        <f>SUM(H599:H600)</f>
        <v>1772145</v>
      </c>
      <c r="I601" s="117">
        <f>SUM(I599:I600)</f>
        <v>36.32</v>
      </c>
      <c r="J601" s="1">
        <f>SUM(J599:J600)</f>
        <v>2109438</v>
      </c>
      <c r="K601" s="30"/>
      <c r="L601" s="117">
        <f>SUM(L599:L600)</f>
        <v>40.54</v>
      </c>
      <c r="M601" s="1">
        <f>SUM(M599:M600)</f>
        <v>2401145</v>
      </c>
    </row>
    <row r="602" spans="1:13" ht="12">
      <c r="A602" s="11">
        <v>10</v>
      </c>
      <c r="E602" s="11">
        <v>10</v>
      </c>
      <c r="F602" s="13"/>
      <c r="G602" s="67"/>
      <c r="H602" s="1"/>
      <c r="I602" s="117"/>
      <c r="J602" s="1"/>
      <c r="K602" s="30"/>
      <c r="L602" s="117"/>
      <c r="M602" s="1"/>
    </row>
    <row r="603" spans="1:13" ht="12">
      <c r="A603" s="11">
        <v>11</v>
      </c>
      <c r="C603" s="12" t="s">
        <v>28</v>
      </c>
      <c r="E603" s="11">
        <v>11</v>
      </c>
      <c r="G603" s="64">
        <f>SUM(G596,G601)</f>
        <v>64.3</v>
      </c>
      <c r="H603" s="100">
        <f>SUM(H601,H596)</f>
        <v>4687867</v>
      </c>
      <c r="I603" s="118">
        <f>SUM(I596,I601)</f>
        <v>69.55000000000001</v>
      </c>
      <c r="J603" s="100">
        <f>SUM(J601,J596)</f>
        <v>5311849</v>
      </c>
      <c r="K603" s="30"/>
      <c r="L603" s="118">
        <f>SUM(L596,L601)</f>
        <v>76.46000000000001</v>
      </c>
      <c r="M603" s="100">
        <f>SUM(M601,M596)</f>
        <v>6123987</v>
      </c>
    </row>
    <row r="604" spans="1:13" ht="12">
      <c r="A604" s="11">
        <v>12</v>
      </c>
      <c r="E604" s="11">
        <v>12</v>
      </c>
      <c r="G604" s="64"/>
      <c r="H604" s="100"/>
      <c r="I604" s="118"/>
      <c r="J604" s="100"/>
      <c r="K604" s="30"/>
      <c r="L604" s="118"/>
      <c r="M604" s="100"/>
    </row>
    <row r="605" spans="1:13" ht="12">
      <c r="A605" s="11">
        <v>13</v>
      </c>
      <c r="C605" s="12" t="s">
        <v>38</v>
      </c>
      <c r="E605" s="11">
        <v>13</v>
      </c>
      <c r="F605" s="13"/>
      <c r="G605" s="67"/>
      <c r="H605" s="1">
        <v>285540</v>
      </c>
      <c r="I605" s="117"/>
      <c r="J605" s="1">
        <f>302577+1165</f>
        <v>303742</v>
      </c>
      <c r="K605" s="110"/>
      <c r="L605" s="117"/>
      <c r="M605" s="1">
        <f>266464+2990</f>
        <v>269454</v>
      </c>
    </row>
    <row r="606" spans="1:13" ht="12">
      <c r="A606" s="11">
        <v>14</v>
      </c>
      <c r="E606" s="11">
        <v>14</v>
      </c>
      <c r="F606" s="13"/>
      <c r="G606" s="67"/>
      <c r="H606" s="1"/>
      <c r="I606" s="117"/>
      <c r="J606" s="1"/>
      <c r="K606" s="110"/>
      <c r="L606" s="117"/>
      <c r="M606" s="1"/>
    </row>
    <row r="607" spans="1:13" ht="12">
      <c r="A607" s="11">
        <v>15</v>
      </c>
      <c r="C607" s="12" t="s">
        <v>30</v>
      </c>
      <c r="E607" s="11">
        <v>15</v>
      </c>
      <c r="F607" s="13"/>
      <c r="G607" s="67"/>
      <c r="H607" s="1">
        <v>40707</v>
      </c>
      <c r="I607" s="117"/>
      <c r="J607" s="1">
        <v>40048</v>
      </c>
      <c r="K607" s="110"/>
      <c r="L607" s="117"/>
      <c r="M607" s="1">
        <v>34716</v>
      </c>
    </row>
    <row r="608" spans="1:13" ht="12">
      <c r="A608" s="11">
        <v>16</v>
      </c>
      <c r="C608" s="12" t="s">
        <v>31</v>
      </c>
      <c r="E608" s="11">
        <v>16</v>
      </c>
      <c r="F608" s="13"/>
      <c r="G608" s="67"/>
      <c r="H608" s="1">
        <v>1537162</v>
      </c>
      <c r="I608" s="117"/>
      <c r="J608" s="1">
        <v>1084698</v>
      </c>
      <c r="K608" s="110"/>
      <c r="L608" s="117"/>
      <c r="M608" s="1">
        <f>1686745+111894</f>
        <v>1798639</v>
      </c>
    </row>
    <row r="609" spans="1:13" ht="12">
      <c r="A609" s="11"/>
      <c r="C609" s="12"/>
      <c r="E609" s="11"/>
      <c r="F609" s="13"/>
      <c r="G609" s="67"/>
      <c r="H609" s="1"/>
      <c r="I609" s="117"/>
      <c r="J609" s="1"/>
      <c r="K609" s="110"/>
      <c r="L609" s="117"/>
      <c r="M609" s="1"/>
    </row>
    <row r="610" spans="1:13" ht="12">
      <c r="A610" s="11">
        <v>17</v>
      </c>
      <c r="C610" s="12" t="s">
        <v>32</v>
      </c>
      <c r="E610" s="11">
        <v>17</v>
      </c>
      <c r="F610" s="13"/>
      <c r="G610" s="67"/>
      <c r="H610" s="1">
        <v>0</v>
      </c>
      <c r="I610" s="117"/>
      <c r="J610" s="1"/>
      <c r="K610" s="110"/>
      <c r="L610" s="117"/>
      <c r="M610" s="1">
        <v>31485</v>
      </c>
    </row>
    <row r="611" spans="1:13" ht="12">
      <c r="A611" s="11">
        <v>18</v>
      </c>
      <c r="C611" s="12" t="s">
        <v>40</v>
      </c>
      <c r="E611" s="11">
        <v>18</v>
      </c>
      <c r="F611" s="13"/>
      <c r="G611" s="67"/>
      <c r="H611" s="1">
        <v>250665</v>
      </c>
      <c r="I611" s="117"/>
      <c r="J611" s="1">
        <v>220101</v>
      </c>
      <c r="K611" s="110"/>
      <c r="L611" s="117"/>
      <c r="M611" s="1">
        <v>1288104</v>
      </c>
    </row>
    <row r="612" spans="1:13" ht="12">
      <c r="A612" s="11">
        <v>19</v>
      </c>
      <c r="C612" s="12" t="s">
        <v>42</v>
      </c>
      <c r="E612" s="11">
        <v>19</v>
      </c>
      <c r="F612" s="13"/>
      <c r="G612" s="67"/>
      <c r="H612" s="1">
        <v>0</v>
      </c>
      <c r="I612" s="117"/>
      <c r="J612" s="1">
        <v>0</v>
      </c>
      <c r="K612" s="110"/>
      <c r="L612" s="117"/>
      <c r="M612" s="1">
        <v>0</v>
      </c>
    </row>
    <row r="613" spans="1:13" ht="12">
      <c r="A613" s="11">
        <v>20</v>
      </c>
      <c r="C613" s="12" t="s">
        <v>104</v>
      </c>
      <c r="E613" s="11">
        <v>20</v>
      </c>
      <c r="F613" s="13"/>
      <c r="G613" s="67"/>
      <c r="H613" s="1">
        <v>0</v>
      </c>
      <c r="I613" s="117"/>
      <c r="J613" s="1">
        <v>0</v>
      </c>
      <c r="K613" s="110"/>
      <c r="L613" s="117"/>
      <c r="M613" s="1">
        <v>0</v>
      </c>
    </row>
    <row r="614" spans="1:13" ht="12">
      <c r="A614" s="11">
        <v>21</v>
      </c>
      <c r="C614" s="12"/>
      <c r="E614" s="11">
        <v>21</v>
      </c>
      <c r="F614" s="13"/>
      <c r="G614" s="67"/>
      <c r="H614" s="1"/>
      <c r="I614" s="117"/>
      <c r="J614" s="1"/>
      <c r="K614" s="110"/>
      <c r="L614" s="117"/>
      <c r="M614" s="1"/>
    </row>
    <row r="615" spans="1:13" ht="12">
      <c r="A615" s="11">
        <v>22</v>
      </c>
      <c r="C615" s="12"/>
      <c r="E615" s="11">
        <v>22</v>
      </c>
      <c r="F615" s="13"/>
      <c r="G615" s="67"/>
      <c r="H615" s="1"/>
      <c r="I615" s="117"/>
      <c r="J615" s="1"/>
      <c r="K615" s="110"/>
      <c r="L615" s="117"/>
      <c r="M615" s="1"/>
    </row>
    <row r="616" spans="1:13" ht="12">
      <c r="A616" s="11">
        <v>23</v>
      </c>
      <c r="C616" s="12"/>
      <c r="E616" s="11">
        <v>23</v>
      </c>
      <c r="F616" s="13"/>
      <c r="G616" s="67"/>
      <c r="H616" s="1"/>
      <c r="I616" s="117"/>
      <c r="J616" s="1"/>
      <c r="K616" s="110"/>
      <c r="L616" s="117"/>
      <c r="M616" s="1"/>
    </row>
    <row r="617" spans="1:13" ht="12">
      <c r="A617" s="11">
        <v>24</v>
      </c>
      <c r="C617" s="12"/>
      <c r="E617" s="11">
        <v>24</v>
      </c>
      <c r="F617" s="13"/>
      <c r="G617" s="67"/>
      <c r="H617" s="1"/>
      <c r="I617" s="117"/>
      <c r="J617" s="1"/>
      <c r="K617" s="110"/>
      <c r="L617" s="117"/>
      <c r="M617" s="1"/>
    </row>
    <row r="618" spans="5:13" ht="12">
      <c r="E618" s="50"/>
      <c r="F618" s="90" t="s">
        <v>1</v>
      </c>
      <c r="G618" s="89"/>
      <c r="H618" s="90"/>
      <c r="I618" s="116" t="s">
        <v>1</v>
      </c>
      <c r="J618" s="23" t="s">
        <v>1</v>
      </c>
      <c r="K618" s="90" t="s">
        <v>1</v>
      </c>
      <c r="L618" s="116" t="s">
        <v>1</v>
      </c>
      <c r="M618" s="23" t="s">
        <v>1</v>
      </c>
    </row>
    <row r="619" spans="1:13" ht="12">
      <c r="A619" s="11">
        <v>25</v>
      </c>
      <c r="C619" s="12" t="s">
        <v>237</v>
      </c>
      <c r="E619" s="11">
        <v>25</v>
      </c>
      <c r="G619" s="84">
        <f>SUM(G603:G616)</f>
        <v>64.3</v>
      </c>
      <c r="H619" s="100">
        <f>SUM(H603:H616)</f>
        <v>6801941</v>
      </c>
      <c r="I619" s="111">
        <f>SUM(I603:I616)</f>
        <v>69.55000000000001</v>
      </c>
      <c r="J619" s="100">
        <f>SUM(J603:J616)</f>
        <v>6960438</v>
      </c>
      <c r="K619" s="25"/>
      <c r="L619" s="111">
        <f>SUM(L603:L616)</f>
        <v>76.46000000000001</v>
      </c>
      <c r="M619" s="100">
        <f>SUM(M603:M616)</f>
        <v>9546385</v>
      </c>
    </row>
    <row r="620" spans="5:13" ht="12">
      <c r="E620" s="50"/>
      <c r="F620" s="90" t="s">
        <v>1</v>
      </c>
      <c r="G620" s="90"/>
      <c r="H620" s="90"/>
      <c r="I620" s="22"/>
      <c r="J620" s="23"/>
      <c r="K620" s="90"/>
      <c r="L620" s="22"/>
      <c r="M620" s="23"/>
    </row>
    <row r="621" ht="12">
      <c r="A621" s="12"/>
    </row>
    <row r="623" spans="1:13" ht="12">
      <c r="A623" s="19" t="str">
        <f>$A$36</f>
        <v>Institution No.:  GFC</v>
      </c>
      <c r="B623" s="46"/>
      <c r="C623" s="46"/>
      <c r="D623" s="46"/>
      <c r="E623" s="51"/>
      <c r="F623" s="46"/>
      <c r="G623" s="46"/>
      <c r="H623" s="46"/>
      <c r="I623" s="52"/>
      <c r="J623" s="53"/>
      <c r="K623" s="46"/>
      <c r="L623" s="52"/>
      <c r="M623" s="18" t="s">
        <v>41</v>
      </c>
    </row>
    <row r="624" spans="1:13" s="46" customFormat="1" ht="12">
      <c r="A624" s="274" t="s">
        <v>152</v>
      </c>
      <c r="B624" s="274"/>
      <c r="C624" s="274"/>
      <c r="D624" s="274"/>
      <c r="E624" s="274"/>
      <c r="F624" s="274"/>
      <c r="G624" s="274"/>
      <c r="H624" s="274"/>
      <c r="I624" s="274"/>
      <c r="J624" s="274"/>
      <c r="K624" s="274"/>
      <c r="L624" s="274"/>
      <c r="M624" s="274"/>
    </row>
    <row r="625" spans="1:13" s="46" customFormat="1" ht="12">
      <c r="A625" s="19" t="s">
        <v>664</v>
      </c>
      <c r="B625" s="7"/>
      <c r="C625" s="7" t="s">
        <v>540</v>
      </c>
      <c r="D625" s="7"/>
      <c r="E625" s="7"/>
      <c r="F625" s="7"/>
      <c r="G625" s="7"/>
      <c r="H625" s="7"/>
      <c r="I625" s="103"/>
      <c r="J625" s="86"/>
      <c r="K625" s="7"/>
      <c r="L625" s="17"/>
      <c r="M625" s="20" t="str">
        <f>$M$3</f>
        <v>Date: 10/1/2008</v>
      </c>
    </row>
    <row r="626" spans="1:13" ht="12">
      <c r="A626" s="21" t="s">
        <v>1</v>
      </c>
      <c r="B626" s="21" t="s">
        <v>1</v>
      </c>
      <c r="C626" s="21" t="s">
        <v>1</v>
      </c>
      <c r="D626" s="21" t="s">
        <v>1</v>
      </c>
      <c r="E626" s="21" t="s">
        <v>1</v>
      </c>
      <c r="F626" s="21" t="s">
        <v>1</v>
      </c>
      <c r="G626" s="21"/>
      <c r="H626" s="21"/>
      <c r="I626" s="22" t="s">
        <v>1</v>
      </c>
      <c r="J626" s="23" t="s">
        <v>1</v>
      </c>
      <c r="K626" s="21" t="s">
        <v>1</v>
      </c>
      <c r="L626" s="22" t="s">
        <v>1</v>
      </c>
      <c r="M626" s="23" t="s">
        <v>1</v>
      </c>
    </row>
    <row r="627" spans="1:13" ht="12">
      <c r="A627" s="24" t="s">
        <v>2</v>
      </c>
      <c r="E627" s="24" t="s">
        <v>2</v>
      </c>
      <c r="F627" s="25"/>
      <c r="G627" s="26"/>
      <c r="H627" s="25" t="s">
        <v>249</v>
      </c>
      <c r="I627" s="26"/>
      <c r="J627" s="27" t="s">
        <v>251</v>
      </c>
      <c r="K627" s="25"/>
      <c r="L627" s="26"/>
      <c r="M627" s="27" t="s">
        <v>260</v>
      </c>
    </row>
    <row r="628" spans="1:13" ht="12">
      <c r="A628" s="24" t="s">
        <v>4</v>
      </c>
      <c r="C628" s="28" t="s">
        <v>20</v>
      </c>
      <c r="E628" s="24" t="s">
        <v>4</v>
      </c>
      <c r="F628" s="25"/>
      <c r="G628" s="26" t="s">
        <v>6</v>
      </c>
      <c r="H628" s="27" t="s">
        <v>7</v>
      </c>
      <c r="I628" s="26" t="s">
        <v>6</v>
      </c>
      <c r="J628" s="27" t="s">
        <v>7</v>
      </c>
      <c r="K628" s="25"/>
      <c r="L628" s="26" t="s">
        <v>6</v>
      </c>
      <c r="M628" s="27" t="s">
        <v>8</v>
      </c>
    </row>
    <row r="629" spans="1:13" ht="12">
      <c r="A629" s="21" t="s">
        <v>1</v>
      </c>
      <c r="B629" s="21" t="s">
        <v>1</v>
      </c>
      <c r="C629" s="21" t="s">
        <v>1</v>
      </c>
      <c r="D629" s="21" t="s">
        <v>1</v>
      </c>
      <c r="E629" s="21" t="s">
        <v>1</v>
      </c>
      <c r="F629" s="21" t="s">
        <v>1</v>
      </c>
      <c r="G629" s="21"/>
      <c r="H629" s="21"/>
      <c r="I629" s="22" t="s">
        <v>1</v>
      </c>
      <c r="J629" s="23" t="s">
        <v>1</v>
      </c>
      <c r="K629" s="21" t="s">
        <v>1</v>
      </c>
      <c r="L629" s="22" t="s">
        <v>1</v>
      </c>
      <c r="M629" s="23" t="s">
        <v>1</v>
      </c>
    </row>
    <row r="630" spans="1:13" ht="12">
      <c r="A630" s="11">
        <v>1</v>
      </c>
      <c r="C630" s="12" t="s">
        <v>36</v>
      </c>
      <c r="E630" s="11">
        <v>1</v>
      </c>
      <c r="F630" s="13"/>
      <c r="G630" s="67">
        <v>14.9</v>
      </c>
      <c r="H630" s="2">
        <v>1088584</v>
      </c>
      <c r="I630" s="67">
        <f>0.25+0+14.58</f>
        <v>14.83</v>
      </c>
      <c r="J630" s="2">
        <f>23870+7680+1058296+10780</f>
        <v>1100626</v>
      </c>
      <c r="K630" s="110"/>
      <c r="L630" s="67">
        <f>0.75+0+16.99</f>
        <v>17.74</v>
      </c>
      <c r="M630" s="1">
        <f>12694+1645+1277578</f>
        <v>1291917</v>
      </c>
    </row>
    <row r="631" spans="1:13" ht="12">
      <c r="A631" s="11">
        <v>2</v>
      </c>
      <c r="C631" s="12" t="s">
        <v>37</v>
      </c>
      <c r="E631" s="11">
        <v>2</v>
      </c>
      <c r="F631" s="13"/>
      <c r="G631" s="67"/>
      <c r="H631" s="2">
        <v>251935</v>
      </c>
      <c r="I631" s="67"/>
      <c r="J631" s="2">
        <f>4765+1000+223718</f>
        <v>229483</v>
      </c>
      <c r="K631" s="110"/>
      <c r="L631" s="67"/>
      <c r="M631" s="2">
        <f>32479+2224+358305</f>
        <v>393008</v>
      </c>
    </row>
    <row r="632" spans="1:13" ht="12">
      <c r="A632" s="11">
        <v>3</v>
      </c>
      <c r="E632" s="11">
        <v>3</v>
      </c>
      <c r="F632" s="13"/>
      <c r="G632" s="67"/>
      <c r="H632" s="2"/>
      <c r="I632" s="67"/>
      <c r="J632" s="2"/>
      <c r="K632" s="110"/>
      <c r="L632" s="67"/>
      <c r="M632" s="2"/>
    </row>
    <row r="633" spans="1:13" ht="12">
      <c r="A633" s="11">
        <v>4</v>
      </c>
      <c r="C633" s="12" t="s">
        <v>23</v>
      </c>
      <c r="E633" s="11">
        <v>4</v>
      </c>
      <c r="F633" s="13"/>
      <c r="G633" s="67">
        <f>SUM(G630:G632)</f>
        <v>14.9</v>
      </c>
      <c r="H633" s="2">
        <f>SUM(H630:H632)</f>
        <v>1340519</v>
      </c>
      <c r="I633" s="67">
        <f>SUM(I630:I632)</f>
        <v>14.83</v>
      </c>
      <c r="J633" s="2">
        <f>SUM(J630:J632)</f>
        <v>1330109</v>
      </c>
      <c r="K633" s="30"/>
      <c r="L633" s="67">
        <f>SUM(L630:L632)</f>
        <v>17.74</v>
      </c>
      <c r="M633" s="2">
        <f>SUM(M630:M632)</f>
        <v>1684925</v>
      </c>
    </row>
    <row r="634" spans="1:13" ht="12">
      <c r="A634" s="11">
        <v>5</v>
      </c>
      <c r="E634" s="11">
        <v>5</v>
      </c>
      <c r="F634" s="13"/>
      <c r="G634" s="67"/>
      <c r="H634" s="2"/>
      <c r="I634" s="67"/>
      <c r="J634" s="2"/>
      <c r="K634" s="30"/>
      <c r="L634" s="67"/>
      <c r="M634" s="2"/>
    </row>
    <row r="635" spans="1:13" ht="12">
      <c r="A635" s="11">
        <v>6</v>
      </c>
      <c r="E635" s="11">
        <v>6</v>
      </c>
      <c r="F635" s="13"/>
      <c r="G635" s="67"/>
      <c r="H635" s="2"/>
      <c r="I635" s="67"/>
      <c r="J635" s="2"/>
      <c r="K635" s="30"/>
      <c r="L635" s="67"/>
      <c r="M635" s="2"/>
    </row>
    <row r="636" spans="1:13" ht="12">
      <c r="A636" s="11">
        <v>7</v>
      </c>
      <c r="C636" s="12" t="s">
        <v>25</v>
      </c>
      <c r="E636" s="11">
        <v>7</v>
      </c>
      <c r="F636" s="13"/>
      <c r="G636" s="67">
        <v>47.6</v>
      </c>
      <c r="H636" s="2">
        <v>2008902</v>
      </c>
      <c r="I636" s="67">
        <v>49.26</v>
      </c>
      <c r="J636" s="2">
        <v>2209567</v>
      </c>
      <c r="K636" s="110"/>
      <c r="L636" s="67">
        <v>48.26</v>
      </c>
      <c r="M636" s="1">
        <v>2201997</v>
      </c>
    </row>
    <row r="637" spans="1:13" ht="12">
      <c r="A637" s="11">
        <v>8</v>
      </c>
      <c r="C637" s="12" t="s">
        <v>26</v>
      </c>
      <c r="E637" s="11">
        <v>8</v>
      </c>
      <c r="F637" s="13"/>
      <c r="G637" s="67"/>
      <c r="H637" s="2">
        <v>380205</v>
      </c>
      <c r="I637" s="67"/>
      <c r="J637" s="2">
        <v>507327</v>
      </c>
      <c r="K637" s="110"/>
      <c r="L637" s="67"/>
      <c r="M637" s="2">
        <v>514640</v>
      </c>
    </row>
    <row r="638" spans="1:13" ht="12">
      <c r="A638" s="11">
        <v>9</v>
      </c>
      <c r="C638" s="12" t="s">
        <v>27</v>
      </c>
      <c r="E638" s="11">
        <v>9</v>
      </c>
      <c r="F638" s="13"/>
      <c r="G638" s="67">
        <f>SUM(G636:G637)</f>
        <v>47.6</v>
      </c>
      <c r="H638" s="2">
        <f>SUM(H636:H637)</f>
        <v>2389107</v>
      </c>
      <c r="I638" s="67">
        <f>SUM(I636:I637)</f>
        <v>49.26</v>
      </c>
      <c r="J638" s="2">
        <f>SUM(J636:J637)</f>
        <v>2716894</v>
      </c>
      <c r="K638" s="30"/>
      <c r="L638" s="67">
        <f>SUM(L636:L637)</f>
        <v>48.26</v>
      </c>
      <c r="M638" s="2">
        <f>SUM(M636:M637)</f>
        <v>2716637</v>
      </c>
    </row>
    <row r="639" spans="1:13" ht="12">
      <c r="A639" s="11">
        <v>10</v>
      </c>
      <c r="E639" s="11">
        <v>10</v>
      </c>
      <c r="F639" s="13"/>
      <c r="G639" s="67"/>
      <c r="H639" s="2"/>
      <c r="I639" s="67"/>
      <c r="J639" s="2"/>
      <c r="K639" s="30"/>
      <c r="L639" s="67"/>
      <c r="M639" s="2"/>
    </row>
    <row r="640" spans="1:13" ht="12">
      <c r="A640" s="11">
        <v>11</v>
      </c>
      <c r="C640" s="12" t="s">
        <v>28</v>
      </c>
      <c r="E640" s="11">
        <v>11</v>
      </c>
      <c r="G640" s="64">
        <f>SUM(G638,G633)</f>
        <v>62.5</v>
      </c>
      <c r="H640" s="65">
        <f>SUM(H633,H638)</f>
        <v>3729626</v>
      </c>
      <c r="I640" s="64">
        <f>SUM(I638,I633)</f>
        <v>64.09</v>
      </c>
      <c r="J640" s="65">
        <f>SUM(J638,J633)</f>
        <v>4047003</v>
      </c>
      <c r="K640" s="30"/>
      <c r="L640" s="64">
        <f>SUM(L638,L633)</f>
        <v>66</v>
      </c>
      <c r="M640" s="65">
        <f>SUM(M638,M633)</f>
        <v>4401562</v>
      </c>
    </row>
    <row r="641" spans="1:13" ht="12">
      <c r="A641" s="11">
        <v>12</v>
      </c>
      <c r="E641" s="11">
        <v>12</v>
      </c>
      <c r="G641" s="64"/>
      <c r="H641" s="65"/>
      <c r="I641" s="64"/>
      <c r="J641" s="65"/>
      <c r="K641" s="30"/>
      <c r="L641" s="64"/>
      <c r="M641" s="65"/>
    </row>
    <row r="642" spans="1:13" ht="12">
      <c r="A642" s="11">
        <v>13</v>
      </c>
      <c r="C642" s="12" t="s">
        <v>38</v>
      </c>
      <c r="E642" s="11">
        <v>13</v>
      </c>
      <c r="F642" s="13"/>
      <c r="G642" s="67"/>
      <c r="H642" s="2">
        <v>282977</v>
      </c>
      <c r="I642" s="67"/>
      <c r="J642" s="2">
        <f>425369+2357</f>
        <v>427726</v>
      </c>
      <c r="K642" s="110"/>
      <c r="L642" s="67"/>
      <c r="M642" s="2">
        <f>148730+4153</f>
        <v>152883</v>
      </c>
    </row>
    <row r="643" spans="1:13" ht="12">
      <c r="A643" s="11">
        <v>14</v>
      </c>
      <c r="E643" s="11">
        <v>14</v>
      </c>
      <c r="F643" s="13"/>
      <c r="G643" s="67"/>
      <c r="H643" s="2"/>
      <c r="I643" s="67"/>
      <c r="J643" s="2"/>
      <c r="K643" s="110"/>
      <c r="L643" s="67"/>
      <c r="M643" s="2"/>
    </row>
    <row r="644" spans="1:13" ht="12">
      <c r="A644" s="11">
        <v>15</v>
      </c>
      <c r="C644" s="12" t="s">
        <v>30</v>
      </c>
      <c r="E644" s="11">
        <v>15</v>
      </c>
      <c r="F644" s="13"/>
      <c r="G644" s="67"/>
      <c r="H644" s="2">
        <v>73668</v>
      </c>
      <c r="I644" s="67"/>
      <c r="J644" s="2">
        <v>102670</v>
      </c>
      <c r="K644" s="110"/>
      <c r="L644" s="67"/>
      <c r="M644" s="2">
        <v>55932</v>
      </c>
    </row>
    <row r="645" spans="1:13" ht="12">
      <c r="A645" s="11">
        <v>16</v>
      </c>
      <c r="C645" s="12" t="s">
        <v>31</v>
      </c>
      <c r="E645" s="11">
        <v>16</v>
      </c>
      <c r="F645" s="13"/>
      <c r="G645" s="67"/>
      <c r="H645" s="2">
        <v>335744</v>
      </c>
      <c r="I645" s="67"/>
      <c r="J645" s="2">
        <f>863307-446125-1</f>
        <v>417181</v>
      </c>
      <c r="K645" s="110"/>
      <c r="L645" s="67"/>
      <c r="M645" s="2">
        <f>1535319+80215</f>
        <v>1615534</v>
      </c>
    </row>
    <row r="646" spans="1:13" ht="12">
      <c r="A646" s="11"/>
      <c r="C646" s="12"/>
      <c r="E646" s="11"/>
      <c r="F646" s="13"/>
      <c r="G646" s="67"/>
      <c r="H646" s="2"/>
      <c r="I646" s="67"/>
      <c r="J646" s="2"/>
      <c r="K646" s="110"/>
      <c r="L646" s="67"/>
      <c r="M646" s="2"/>
    </row>
    <row r="647" spans="1:13" ht="12">
      <c r="A647" s="11">
        <v>17</v>
      </c>
      <c r="C647" s="12" t="s">
        <v>32</v>
      </c>
      <c r="E647" s="11">
        <v>17</v>
      </c>
      <c r="F647" s="13"/>
      <c r="G647" s="67"/>
      <c r="H647" s="2">
        <v>0</v>
      </c>
      <c r="I647" s="67"/>
      <c r="J647" s="2"/>
      <c r="K647" s="110"/>
      <c r="L647" s="67"/>
      <c r="M647" s="2"/>
    </row>
    <row r="648" spans="1:13" ht="12">
      <c r="A648" s="11">
        <v>18</v>
      </c>
      <c r="E648" s="11">
        <v>18</v>
      </c>
      <c r="F648" s="13"/>
      <c r="G648" s="67"/>
      <c r="H648" s="2"/>
      <c r="I648" s="67"/>
      <c r="J648" s="2"/>
      <c r="K648" s="110"/>
      <c r="L648" s="67"/>
      <c r="M648" s="2"/>
    </row>
    <row r="649" spans="1:13" ht="12">
      <c r="A649" s="11">
        <v>19</v>
      </c>
      <c r="C649" s="12" t="s">
        <v>42</v>
      </c>
      <c r="E649" s="11">
        <v>19</v>
      </c>
      <c r="F649" s="13"/>
      <c r="G649" s="67"/>
      <c r="H649" s="2">
        <v>0</v>
      </c>
      <c r="I649" s="67"/>
      <c r="J649" s="2">
        <v>0</v>
      </c>
      <c r="K649" s="110"/>
      <c r="L649" s="67"/>
      <c r="M649" s="2">
        <v>0</v>
      </c>
    </row>
    <row r="650" spans="1:13" ht="12">
      <c r="A650" s="11">
        <v>20</v>
      </c>
      <c r="C650" s="12"/>
      <c r="E650" s="11">
        <v>20</v>
      </c>
      <c r="F650" s="13"/>
      <c r="G650" s="67"/>
      <c r="H650" s="2"/>
      <c r="I650" s="67"/>
      <c r="J650" s="2"/>
      <c r="K650" s="110"/>
      <c r="L650" s="67"/>
      <c r="M650" s="2"/>
    </row>
    <row r="651" spans="1:13" ht="12">
      <c r="A651" s="11">
        <v>21</v>
      </c>
      <c r="C651" s="12"/>
      <c r="E651" s="11">
        <v>21</v>
      </c>
      <c r="F651" s="13"/>
      <c r="G651" s="67"/>
      <c r="H651" s="2"/>
      <c r="I651" s="67"/>
      <c r="J651" s="2"/>
      <c r="K651" s="110"/>
      <c r="L651" s="67"/>
      <c r="M651" s="2"/>
    </row>
    <row r="652" spans="1:13" ht="12">
      <c r="A652" s="11">
        <v>22</v>
      </c>
      <c r="C652" s="12"/>
      <c r="E652" s="11">
        <v>22</v>
      </c>
      <c r="F652" s="13"/>
      <c r="G652" s="67"/>
      <c r="H652" s="2"/>
      <c r="I652" s="67"/>
      <c r="J652" s="2"/>
      <c r="K652" s="110"/>
      <c r="L652" s="67"/>
      <c r="M652" s="2"/>
    </row>
    <row r="653" spans="1:13" ht="12">
      <c r="A653" s="11">
        <v>23</v>
      </c>
      <c r="C653" s="12"/>
      <c r="E653" s="11">
        <v>23</v>
      </c>
      <c r="F653" s="13"/>
      <c r="G653" s="67"/>
      <c r="H653" s="2"/>
      <c r="I653" s="67"/>
      <c r="J653" s="2"/>
      <c r="K653" s="110"/>
      <c r="L653" s="67"/>
      <c r="M653" s="2"/>
    </row>
    <row r="654" spans="1:13" ht="12">
      <c r="A654" s="11">
        <v>24</v>
      </c>
      <c r="C654" s="12"/>
      <c r="E654" s="11">
        <v>24</v>
      </c>
      <c r="F654" s="13"/>
      <c r="G654" s="67"/>
      <c r="H654" s="2"/>
      <c r="I654" s="67"/>
      <c r="J654" s="2"/>
      <c r="K654" s="110"/>
      <c r="L654" s="67"/>
      <c r="M654" s="2"/>
    </row>
    <row r="655" spans="5:13" ht="12">
      <c r="E655" s="50"/>
      <c r="F655" s="90" t="s">
        <v>1</v>
      </c>
      <c r="G655" s="89"/>
      <c r="H655" s="90"/>
      <c r="I655" s="23" t="s">
        <v>1</v>
      </c>
      <c r="J655" s="23" t="s">
        <v>1</v>
      </c>
      <c r="K655" s="90" t="s">
        <v>1</v>
      </c>
      <c r="L655" s="90" t="s">
        <v>1</v>
      </c>
      <c r="M655" s="23" t="s">
        <v>1</v>
      </c>
    </row>
    <row r="656" spans="1:13" ht="12">
      <c r="A656" s="11">
        <v>25</v>
      </c>
      <c r="C656" s="12" t="s">
        <v>238</v>
      </c>
      <c r="E656" s="11">
        <v>25</v>
      </c>
      <c r="G656" s="64">
        <f>SUM(G640:G654)</f>
        <v>62.5</v>
      </c>
      <c r="H656" s="100">
        <f>SUM(H640:H654)</f>
        <v>4422015</v>
      </c>
      <c r="I656" s="64">
        <f>SUM(I640:I654)</f>
        <v>64.09</v>
      </c>
      <c r="J656" s="100">
        <f>SUM(J640:J654)</f>
        <v>4994580</v>
      </c>
      <c r="K656" s="25"/>
      <c r="L656" s="64">
        <f>SUM(L640:L654)</f>
        <v>66</v>
      </c>
      <c r="M656" s="100">
        <f>SUM(M640:M654)</f>
        <v>6225911</v>
      </c>
    </row>
    <row r="657" spans="5:13" ht="12">
      <c r="E657" s="50"/>
      <c r="F657" s="90" t="s">
        <v>1</v>
      </c>
      <c r="G657" s="90"/>
      <c r="H657" s="90"/>
      <c r="I657" s="22" t="s">
        <v>1</v>
      </c>
      <c r="J657" s="23" t="s">
        <v>1</v>
      </c>
      <c r="K657" s="90" t="s">
        <v>1</v>
      </c>
      <c r="L657" s="22" t="s">
        <v>1</v>
      </c>
      <c r="M657" s="23" t="s">
        <v>1</v>
      </c>
    </row>
    <row r="659" ht="12">
      <c r="A659" s="12"/>
    </row>
    <row r="660" spans="1:13" ht="12">
      <c r="A660" s="19" t="str">
        <f>$A$36</f>
        <v>Institution No.:  GFC</v>
      </c>
      <c r="B660" s="46"/>
      <c r="C660" s="46"/>
      <c r="D660" s="46"/>
      <c r="E660" s="51"/>
      <c r="F660" s="46"/>
      <c r="G660" s="46"/>
      <c r="H660" s="46"/>
      <c r="I660" s="52"/>
      <c r="J660" s="53"/>
      <c r="K660" s="46"/>
      <c r="L660" s="52"/>
      <c r="M660" s="18" t="s">
        <v>43</v>
      </c>
    </row>
    <row r="661" spans="1:13" s="46" customFormat="1" ht="12">
      <c r="A661" s="274" t="s">
        <v>153</v>
      </c>
      <c r="B661" s="274"/>
      <c r="C661" s="274"/>
      <c r="D661" s="274"/>
      <c r="E661" s="274"/>
      <c r="F661" s="274"/>
      <c r="G661" s="274"/>
      <c r="H661" s="274"/>
      <c r="I661" s="274"/>
      <c r="J661" s="274"/>
      <c r="K661" s="274"/>
      <c r="L661" s="274"/>
      <c r="M661" s="274"/>
    </row>
    <row r="662" spans="1:13" s="46" customFormat="1" ht="12">
      <c r="A662" s="19" t="s">
        <v>664</v>
      </c>
      <c r="B662" s="7"/>
      <c r="C662" s="7" t="s">
        <v>540</v>
      </c>
      <c r="D662" s="7"/>
      <c r="E662" s="7"/>
      <c r="F662" s="92"/>
      <c r="G662" s="92"/>
      <c r="H662" s="92"/>
      <c r="I662" s="85"/>
      <c r="J662" s="55"/>
      <c r="K662" s="7"/>
      <c r="L662" s="17"/>
      <c r="M662" s="20" t="str">
        <f>$M$3</f>
        <v>Date: 10/1/2008</v>
      </c>
    </row>
    <row r="663" spans="1:13" ht="12">
      <c r="A663" s="21" t="s">
        <v>1</v>
      </c>
      <c r="B663" s="21" t="s">
        <v>1</v>
      </c>
      <c r="C663" s="21" t="s">
        <v>1</v>
      </c>
      <c r="D663" s="21" t="s">
        <v>1</v>
      </c>
      <c r="E663" s="21" t="s">
        <v>1</v>
      </c>
      <c r="F663" s="21" t="s">
        <v>1</v>
      </c>
      <c r="G663" s="21"/>
      <c r="H663" s="21"/>
      <c r="I663" s="22" t="s">
        <v>1</v>
      </c>
      <c r="J663" s="23" t="s">
        <v>1</v>
      </c>
      <c r="K663" s="21" t="s">
        <v>1</v>
      </c>
      <c r="L663" s="22" t="s">
        <v>1</v>
      </c>
      <c r="M663" s="23" t="s">
        <v>1</v>
      </c>
    </row>
    <row r="664" spans="1:13" ht="12">
      <c r="A664" s="24" t="s">
        <v>2</v>
      </c>
      <c r="E664" s="24" t="s">
        <v>2</v>
      </c>
      <c r="F664" s="25"/>
      <c r="G664" s="26"/>
      <c r="H664" s="25" t="s">
        <v>249</v>
      </c>
      <c r="I664" s="26"/>
      <c r="J664" s="27" t="s">
        <v>251</v>
      </c>
      <c r="K664" s="25"/>
      <c r="L664" s="26"/>
      <c r="M664" s="27" t="s">
        <v>260</v>
      </c>
    </row>
    <row r="665" spans="1:13" ht="12">
      <c r="A665" s="24" t="s">
        <v>4</v>
      </c>
      <c r="C665" s="28" t="s">
        <v>20</v>
      </c>
      <c r="E665" s="24" t="s">
        <v>4</v>
      </c>
      <c r="F665" s="25"/>
      <c r="G665" s="26" t="s">
        <v>6</v>
      </c>
      <c r="H665" s="27" t="s">
        <v>7</v>
      </c>
      <c r="I665" s="26" t="s">
        <v>6</v>
      </c>
      <c r="J665" s="27" t="s">
        <v>7</v>
      </c>
      <c r="K665" s="25"/>
      <c r="L665" s="26" t="s">
        <v>6</v>
      </c>
      <c r="M665" s="27" t="s">
        <v>8</v>
      </c>
    </row>
    <row r="666" spans="1:13" ht="12">
      <c r="A666" s="21" t="s">
        <v>1</v>
      </c>
      <c r="B666" s="21" t="s">
        <v>1</v>
      </c>
      <c r="C666" s="21" t="s">
        <v>1</v>
      </c>
      <c r="D666" s="21" t="s">
        <v>1</v>
      </c>
      <c r="E666" s="21" t="s">
        <v>1</v>
      </c>
      <c r="F666" s="21" t="s">
        <v>1</v>
      </c>
      <c r="G666" s="21"/>
      <c r="H666" s="21"/>
      <c r="I666" s="22" t="s">
        <v>1</v>
      </c>
      <c r="J666" s="23" t="s">
        <v>1</v>
      </c>
      <c r="K666" s="21" t="s">
        <v>1</v>
      </c>
      <c r="L666" s="22" t="s">
        <v>1</v>
      </c>
      <c r="M666" s="23" t="s">
        <v>1</v>
      </c>
    </row>
    <row r="667" spans="1:13" ht="12">
      <c r="A667" s="11">
        <v>1</v>
      </c>
      <c r="C667" s="12" t="s">
        <v>36</v>
      </c>
      <c r="E667" s="11">
        <v>1</v>
      </c>
      <c r="F667" s="13"/>
      <c r="G667" s="104">
        <v>31.8</v>
      </c>
      <c r="H667" s="1">
        <v>2139023</v>
      </c>
      <c r="I667" s="104">
        <f>29.31</f>
        <v>29.31</v>
      </c>
      <c r="J667" s="1">
        <f>22844+1064+2423192+784713</f>
        <v>3231813</v>
      </c>
      <c r="K667" s="110"/>
      <c r="L667" s="104">
        <f>9.77+0+0+28.31</f>
        <v>38.08</v>
      </c>
      <c r="M667" s="1">
        <f>79248+4618+2830754</f>
        <v>2914620</v>
      </c>
    </row>
    <row r="668" spans="1:13" ht="12">
      <c r="A668" s="11">
        <v>2</v>
      </c>
      <c r="C668" s="12" t="s">
        <v>37</v>
      </c>
      <c r="E668" s="11">
        <v>2</v>
      </c>
      <c r="F668" s="13"/>
      <c r="G668" s="104"/>
      <c r="H668" s="1">
        <v>749821</v>
      </c>
      <c r="I668" s="104"/>
      <c r="J668" s="1">
        <f>364505+534527+120884</f>
        <v>1019916</v>
      </c>
      <c r="K668" s="110"/>
      <c r="L668" s="104"/>
      <c r="M668" s="1">
        <f>236119+18944+640880</f>
        <v>895943</v>
      </c>
    </row>
    <row r="669" spans="1:13" ht="12">
      <c r="A669" s="11">
        <v>3</v>
      </c>
      <c r="E669" s="11">
        <v>3</v>
      </c>
      <c r="F669" s="13"/>
      <c r="G669" s="104"/>
      <c r="H669" s="1"/>
      <c r="I669" s="104"/>
      <c r="J669" s="1"/>
      <c r="K669" s="110"/>
      <c r="L669" s="104"/>
      <c r="M669" s="1"/>
    </row>
    <row r="670" spans="1:13" ht="12">
      <c r="A670" s="11">
        <v>4</v>
      </c>
      <c r="C670" s="12" t="s">
        <v>23</v>
      </c>
      <c r="E670" s="11">
        <v>4</v>
      </c>
      <c r="F670" s="13"/>
      <c r="G670" s="104">
        <f>SUM(G667:G669)</f>
        <v>31.8</v>
      </c>
      <c r="H670" s="1">
        <f>SUM(H667:H669)</f>
        <v>2888844</v>
      </c>
      <c r="I670" s="104">
        <f>SUM(I667:I669)</f>
        <v>29.31</v>
      </c>
      <c r="J670" s="1">
        <f>SUM(J667:J669)</f>
        <v>4251729</v>
      </c>
      <c r="K670" s="30"/>
      <c r="L670" s="104">
        <f>SUM(L667:L669)</f>
        <v>38.08</v>
      </c>
      <c r="M670" s="1">
        <f>SUM(M667:M669)</f>
        <v>3810563</v>
      </c>
    </row>
    <row r="671" spans="1:13" ht="12">
      <c r="A671" s="11">
        <v>5</v>
      </c>
      <c r="E671" s="11">
        <v>5</v>
      </c>
      <c r="F671" s="13"/>
      <c r="G671" s="104"/>
      <c r="H671" s="1"/>
      <c r="I671" s="104"/>
      <c r="J671" s="1"/>
      <c r="K671" s="30"/>
      <c r="L671" s="104"/>
      <c r="M671" s="1"/>
    </row>
    <row r="672" spans="1:13" ht="12">
      <c r="A672" s="11">
        <v>6</v>
      </c>
      <c r="E672" s="11">
        <v>6</v>
      </c>
      <c r="F672" s="13"/>
      <c r="G672" s="104"/>
      <c r="H672" s="1"/>
      <c r="I672" s="104"/>
      <c r="J672" s="1"/>
      <c r="K672" s="30"/>
      <c r="L672" s="104"/>
      <c r="M672" s="1"/>
    </row>
    <row r="673" spans="1:13" ht="12">
      <c r="A673" s="11">
        <v>7</v>
      </c>
      <c r="C673" s="12" t="s">
        <v>25</v>
      </c>
      <c r="E673" s="11">
        <v>7</v>
      </c>
      <c r="F673" s="13"/>
      <c r="G673" s="104">
        <v>39.1</v>
      </c>
      <c r="H673" s="1">
        <v>1443256</v>
      </c>
      <c r="I673" s="104">
        <v>33.22</v>
      </c>
      <c r="J673" s="1">
        <f>1677825+736993</f>
        <v>2414818</v>
      </c>
      <c r="K673" s="110"/>
      <c r="L673" s="104">
        <f>16.22+35.74</f>
        <v>51.96</v>
      </c>
      <c r="M673" s="1">
        <v>1862849</v>
      </c>
    </row>
    <row r="674" spans="1:13" ht="12">
      <c r="A674" s="11">
        <v>8</v>
      </c>
      <c r="C674" s="12" t="s">
        <v>26</v>
      </c>
      <c r="E674" s="11">
        <v>8</v>
      </c>
      <c r="F674" s="13"/>
      <c r="G674" s="104"/>
      <c r="H674" s="1">
        <v>433826</v>
      </c>
      <c r="I674" s="104"/>
      <c r="J674" s="1">
        <f>572453+172047</f>
        <v>744500</v>
      </c>
      <c r="K674" s="110"/>
      <c r="L674" s="104"/>
      <c r="M674" s="1">
        <v>494694</v>
      </c>
    </row>
    <row r="675" spans="1:13" ht="12">
      <c r="A675" s="11">
        <v>9</v>
      </c>
      <c r="C675" s="12" t="s">
        <v>27</v>
      </c>
      <c r="E675" s="11">
        <v>9</v>
      </c>
      <c r="F675" s="13"/>
      <c r="G675" s="104">
        <f>SUM(G673:G674)</f>
        <v>39.1</v>
      </c>
      <c r="H675" s="1">
        <f>SUM(H673:H674)</f>
        <v>1877082</v>
      </c>
      <c r="I675" s="104">
        <f>SUM(I673:I674)</f>
        <v>33.22</v>
      </c>
      <c r="J675" s="1">
        <f>SUM(J673:J674)</f>
        <v>3159318</v>
      </c>
      <c r="K675" s="30"/>
      <c r="L675" s="104">
        <f>SUM(L673:L674)</f>
        <v>51.96</v>
      </c>
      <c r="M675" s="1">
        <f>SUM(M673:M674)</f>
        <v>2357543</v>
      </c>
    </row>
    <row r="676" spans="1:13" ht="12">
      <c r="A676" s="11">
        <v>10</v>
      </c>
      <c r="E676" s="11">
        <v>10</v>
      </c>
      <c r="F676" s="13"/>
      <c r="G676" s="104"/>
      <c r="H676" s="1"/>
      <c r="I676" s="104"/>
      <c r="J676" s="1"/>
      <c r="K676" s="30"/>
      <c r="L676" s="104"/>
      <c r="M676" s="1"/>
    </row>
    <row r="677" spans="1:13" ht="12">
      <c r="A677" s="11">
        <v>11</v>
      </c>
      <c r="C677" s="12" t="s">
        <v>28</v>
      </c>
      <c r="E677" s="11">
        <v>11</v>
      </c>
      <c r="F677" s="13"/>
      <c r="G677" s="104">
        <f>SUM(G675,G670)</f>
        <v>70.9</v>
      </c>
      <c r="H677" s="1">
        <f>SUM(H675,H670)</f>
        <v>4765926</v>
      </c>
      <c r="I677" s="104">
        <f>SUM(I675,I670)</f>
        <v>62.53</v>
      </c>
      <c r="J677" s="1">
        <f>SUM(J675,J670)</f>
        <v>7411047</v>
      </c>
      <c r="K677" s="30"/>
      <c r="L677" s="104">
        <f>SUM(L675,L670)</f>
        <v>90.03999999999999</v>
      </c>
      <c r="M677" s="1">
        <f>SUM(M675,M670)</f>
        <v>6168106</v>
      </c>
    </row>
    <row r="678" spans="1:13" ht="12">
      <c r="A678" s="11">
        <v>12</v>
      </c>
      <c r="E678" s="11">
        <v>12</v>
      </c>
      <c r="F678" s="13"/>
      <c r="G678" s="104"/>
      <c r="H678" s="1"/>
      <c r="I678" s="104"/>
      <c r="J678" s="1"/>
      <c r="K678" s="30"/>
      <c r="L678" s="104"/>
      <c r="M678" s="1"/>
    </row>
    <row r="679" spans="1:13" ht="12">
      <c r="A679" s="11">
        <v>13</v>
      </c>
      <c r="C679" s="12" t="s">
        <v>38</v>
      </c>
      <c r="E679" s="11">
        <v>13</v>
      </c>
      <c r="F679" s="13"/>
      <c r="G679" s="104"/>
      <c r="H679" s="1">
        <v>81729</v>
      </c>
      <c r="I679" s="104"/>
      <c r="J679" s="1">
        <f>106350+468+5+17642+767</f>
        <v>125232</v>
      </c>
      <c r="K679" s="110"/>
      <c r="L679" s="104"/>
      <c r="M679" s="1">
        <f>87129+5056</f>
        <v>92185</v>
      </c>
    </row>
    <row r="680" spans="1:13" ht="12">
      <c r="A680" s="11">
        <v>14</v>
      </c>
      <c r="E680" s="11">
        <v>14</v>
      </c>
      <c r="F680" s="13"/>
      <c r="G680" s="104"/>
      <c r="H680" s="1"/>
      <c r="I680" s="104"/>
      <c r="J680" s="1"/>
      <c r="K680" s="110"/>
      <c r="L680" s="104"/>
      <c r="M680" s="1"/>
    </row>
    <row r="681" spans="1:13" ht="12">
      <c r="A681" s="11">
        <v>15</v>
      </c>
      <c r="C681" s="12" t="s">
        <v>30</v>
      </c>
      <c r="E681" s="11">
        <v>15</v>
      </c>
      <c r="F681" s="13"/>
      <c r="G681" s="104"/>
      <c r="H681" s="1">
        <v>82041</v>
      </c>
      <c r="I681" s="104"/>
      <c r="J681" s="1">
        <v>80416</v>
      </c>
      <c r="K681" s="110"/>
      <c r="L681" s="104"/>
      <c r="M681" s="1">
        <v>60594</v>
      </c>
    </row>
    <row r="682" spans="1:13" ht="12">
      <c r="A682" s="11">
        <v>16</v>
      </c>
      <c r="C682" s="12" t="s">
        <v>31</v>
      </c>
      <c r="E682" s="11">
        <v>16</v>
      </c>
      <c r="F682" s="13"/>
      <c r="G682" s="104"/>
      <c r="H682" s="1">
        <v>2721242</v>
      </c>
      <c r="I682" s="104"/>
      <c r="J682" s="1">
        <f>2385983-1252624+4460+729697+111</f>
        <v>1867627</v>
      </c>
      <c r="K682" s="110"/>
      <c r="L682" s="104"/>
      <c r="M682" s="1">
        <f>2471201+1729197</f>
        <v>4200398</v>
      </c>
    </row>
    <row r="683" spans="1:13" ht="12">
      <c r="A683" s="11">
        <v>17</v>
      </c>
      <c r="C683" s="12" t="s">
        <v>32</v>
      </c>
      <c r="E683" s="11">
        <v>17</v>
      </c>
      <c r="F683" s="13"/>
      <c r="G683" s="104"/>
      <c r="H683" s="1">
        <v>0</v>
      </c>
      <c r="I683" s="104"/>
      <c r="J683" s="1"/>
      <c r="K683" s="110"/>
      <c r="L683" s="104"/>
      <c r="M683" s="1">
        <v>1089</v>
      </c>
    </row>
    <row r="684" spans="1:13" ht="12">
      <c r="A684" s="11">
        <v>18</v>
      </c>
      <c r="E684" s="11">
        <v>18</v>
      </c>
      <c r="F684" s="13"/>
      <c r="G684" s="104"/>
      <c r="H684" s="1"/>
      <c r="I684" s="104"/>
      <c r="J684" s="1"/>
      <c r="K684" s="110"/>
      <c r="L684" s="104"/>
      <c r="M684" s="1"/>
    </row>
    <row r="685" spans="1:13" ht="12">
      <c r="A685" s="11">
        <v>19</v>
      </c>
      <c r="C685" s="12" t="s">
        <v>42</v>
      </c>
      <c r="E685" s="11">
        <v>19</v>
      </c>
      <c r="F685" s="13"/>
      <c r="G685" s="104"/>
      <c r="H685" s="1">
        <v>0</v>
      </c>
      <c r="I685" s="104"/>
      <c r="J685" s="1">
        <v>0</v>
      </c>
      <c r="K685" s="110"/>
      <c r="L685" s="104"/>
      <c r="M685" s="1">
        <v>0</v>
      </c>
    </row>
    <row r="686" spans="1:13" ht="12">
      <c r="A686" s="11">
        <v>20</v>
      </c>
      <c r="C686" s="12"/>
      <c r="E686" s="11">
        <v>20</v>
      </c>
      <c r="F686" s="13"/>
      <c r="G686" s="104"/>
      <c r="H686" s="1"/>
      <c r="I686" s="104"/>
      <c r="J686" s="1"/>
      <c r="K686" s="110"/>
      <c r="L686" s="104"/>
      <c r="M686" s="1"/>
    </row>
    <row r="687" spans="1:13" ht="12">
      <c r="A687" s="11">
        <v>21</v>
      </c>
      <c r="C687" s="12"/>
      <c r="E687" s="11">
        <v>21</v>
      </c>
      <c r="F687" s="13"/>
      <c r="G687" s="104"/>
      <c r="H687" s="1"/>
      <c r="I687" s="104"/>
      <c r="J687" s="1"/>
      <c r="K687" s="110"/>
      <c r="L687" s="104"/>
      <c r="M687" s="1"/>
    </row>
    <row r="688" spans="1:13" ht="12">
      <c r="A688" s="11">
        <v>22</v>
      </c>
      <c r="C688" s="12"/>
      <c r="E688" s="11">
        <v>22</v>
      </c>
      <c r="F688" s="13"/>
      <c r="G688" s="104"/>
      <c r="H688" s="1"/>
      <c r="I688" s="104"/>
      <c r="J688" s="1"/>
      <c r="K688" s="110"/>
      <c r="L688" s="104"/>
      <c r="M688" s="1"/>
    </row>
    <row r="689" spans="1:13" ht="12">
      <c r="A689" s="11">
        <v>23</v>
      </c>
      <c r="C689" s="12"/>
      <c r="E689" s="11">
        <v>23</v>
      </c>
      <c r="F689" s="13"/>
      <c r="G689" s="104"/>
      <c r="H689" s="1"/>
      <c r="I689" s="104"/>
      <c r="J689" s="1"/>
      <c r="K689" s="110"/>
      <c r="L689" s="104"/>
      <c r="M689" s="1"/>
    </row>
    <row r="690" spans="1:13" ht="12">
      <c r="A690" s="11">
        <v>24</v>
      </c>
      <c r="C690" s="12"/>
      <c r="E690" s="11">
        <v>24</v>
      </c>
      <c r="F690" s="13"/>
      <c r="G690" s="119"/>
      <c r="H690" s="98"/>
      <c r="I690" s="119"/>
      <c r="J690" s="98"/>
      <c r="K690" s="13"/>
      <c r="L690" s="119"/>
      <c r="M690" s="98"/>
    </row>
    <row r="691" spans="5:13" ht="12">
      <c r="E691" s="50"/>
      <c r="F691" s="90" t="s">
        <v>1</v>
      </c>
      <c r="G691" s="89"/>
      <c r="H691" s="90"/>
      <c r="I691" s="90" t="s">
        <v>1</v>
      </c>
      <c r="J691" s="23" t="s">
        <v>1</v>
      </c>
      <c r="K691" s="90" t="s">
        <v>1</v>
      </c>
      <c r="L691" s="90" t="s">
        <v>1</v>
      </c>
      <c r="M691" s="23" t="s">
        <v>1</v>
      </c>
    </row>
    <row r="692" spans="1:13" ht="12">
      <c r="A692" s="11">
        <v>25</v>
      </c>
      <c r="C692" s="12" t="s">
        <v>239</v>
      </c>
      <c r="E692" s="11">
        <v>25</v>
      </c>
      <c r="G692" s="107">
        <f>SUM(G677:G690)</f>
        <v>70.9</v>
      </c>
      <c r="H692" s="100">
        <f>SUM(H677:H690)</f>
        <v>7650938</v>
      </c>
      <c r="I692" s="107">
        <f>SUM(I677:I690)</f>
        <v>62.53</v>
      </c>
      <c r="J692" s="100">
        <f>SUM(J677:J690)</f>
        <v>9484322</v>
      </c>
      <c r="K692" s="30"/>
      <c r="L692" s="107">
        <f>SUM(L677:L690)</f>
        <v>90.03999999999999</v>
      </c>
      <c r="M692" s="100">
        <f>SUM(M677:M690)</f>
        <v>10522372</v>
      </c>
    </row>
    <row r="693" spans="5:13" ht="12">
      <c r="E693" s="50"/>
      <c r="F693" s="90" t="s">
        <v>1</v>
      </c>
      <c r="G693" s="90"/>
      <c r="H693" s="90"/>
      <c r="I693" s="22"/>
      <c r="J693" s="23"/>
      <c r="K693" s="90"/>
      <c r="L693" s="22"/>
      <c r="M693" s="23"/>
    </row>
    <row r="694" ht="12">
      <c r="A694" s="12"/>
    </row>
    <row r="696" spans="1:13" ht="12">
      <c r="A696" s="19" t="str">
        <f>$A$36</f>
        <v>Institution No.:  GFC</v>
      </c>
      <c r="B696" s="46"/>
      <c r="C696" s="46"/>
      <c r="D696" s="46"/>
      <c r="E696" s="51"/>
      <c r="F696" s="46"/>
      <c r="G696" s="46"/>
      <c r="H696" s="46"/>
      <c r="I696" s="52"/>
      <c r="J696" s="53"/>
      <c r="K696" s="46"/>
      <c r="L696" s="52"/>
      <c r="M696" s="18" t="s">
        <v>44</v>
      </c>
    </row>
    <row r="697" spans="1:13" s="46" customFormat="1" ht="12">
      <c r="A697" s="274" t="s">
        <v>154</v>
      </c>
      <c r="B697" s="274"/>
      <c r="C697" s="274"/>
      <c r="D697" s="274"/>
      <c r="E697" s="274"/>
      <c r="F697" s="274"/>
      <c r="G697" s="274"/>
      <c r="H697" s="274"/>
      <c r="I697" s="274"/>
      <c r="J697" s="274"/>
      <c r="K697" s="274"/>
      <c r="L697" s="274"/>
      <c r="M697" s="274"/>
    </row>
    <row r="698" spans="1:13" s="46" customFormat="1" ht="12">
      <c r="A698" s="19" t="s">
        <v>664</v>
      </c>
      <c r="B698" s="7"/>
      <c r="C698" s="7" t="s">
        <v>540</v>
      </c>
      <c r="D698" s="7"/>
      <c r="E698" s="7"/>
      <c r="F698" s="92"/>
      <c r="G698" s="92"/>
      <c r="H698" s="92"/>
      <c r="I698" s="85"/>
      <c r="J698" s="86"/>
      <c r="K698" s="7"/>
      <c r="L698" s="17"/>
      <c r="M698" s="20" t="str">
        <f>$M$3</f>
        <v>Date: 10/1/2008</v>
      </c>
    </row>
    <row r="699" spans="1:13" ht="12">
      <c r="A699" s="21" t="s">
        <v>1</v>
      </c>
      <c r="B699" s="21" t="s">
        <v>1</v>
      </c>
      <c r="C699" s="21" t="s">
        <v>1</v>
      </c>
      <c r="D699" s="21" t="s">
        <v>1</v>
      </c>
      <c r="E699" s="21" t="s">
        <v>1</v>
      </c>
      <c r="F699" s="21" t="s">
        <v>1</v>
      </c>
      <c r="G699" s="21"/>
      <c r="H699" s="21"/>
      <c r="I699" s="22" t="s">
        <v>1</v>
      </c>
      <c r="J699" s="23" t="s">
        <v>1</v>
      </c>
      <c r="K699" s="21" t="s">
        <v>1</v>
      </c>
      <c r="L699" s="22" t="s">
        <v>1</v>
      </c>
      <c r="M699" s="23" t="s">
        <v>1</v>
      </c>
    </row>
    <row r="700" spans="1:13" ht="12">
      <c r="A700" s="24" t="s">
        <v>2</v>
      </c>
      <c r="E700" s="24" t="s">
        <v>2</v>
      </c>
      <c r="F700" s="25"/>
      <c r="G700" s="26"/>
      <c r="H700" s="25" t="s">
        <v>249</v>
      </c>
      <c r="I700" s="26"/>
      <c r="J700" s="27" t="s">
        <v>251</v>
      </c>
      <c r="K700" s="25"/>
      <c r="L700" s="26"/>
      <c r="M700" s="27" t="s">
        <v>260</v>
      </c>
    </row>
    <row r="701" spans="1:13" ht="12">
      <c r="A701" s="24" t="s">
        <v>4</v>
      </c>
      <c r="C701" s="28" t="s">
        <v>20</v>
      </c>
      <c r="E701" s="24" t="s">
        <v>4</v>
      </c>
      <c r="F701" s="25"/>
      <c r="G701" s="26" t="s">
        <v>6</v>
      </c>
      <c r="H701" s="27" t="s">
        <v>7</v>
      </c>
      <c r="I701" s="26" t="s">
        <v>6</v>
      </c>
      <c r="J701" s="27" t="s">
        <v>7</v>
      </c>
      <c r="K701" s="25"/>
      <c r="L701" s="26" t="s">
        <v>6</v>
      </c>
      <c r="M701" s="27" t="s">
        <v>8</v>
      </c>
    </row>
    <row r="702" spans="1:13" ht="12">
      <c r="A702" s="21" t="s">
        <v>1</v>
      </c>
      <c r="B702" s="21" t="s">
        <v>1</v>
      </c>
      <c r="C702" s="21" t="s">
        <v>1</v>
      </c>
      <c r="D702" s="21" t="s">
        <v>1</v>
      </c>
      <c r="E702" s="21" t="s">
        <v>1</v>
      </c>
      <c r="F702" s="21" t="s">
        <v>1</v>
      </c>
      <c r="G702" s="21"/>
      <c r="H702" s="21"/>
      <c r="I702" s="22"/>
      <c r="J702" s="23"/>
      <c r="K702" s="21"/>
      <c r="L702" s="22"/>
      <c r="M702" s="23"/>
    </row>
    <row r="703" spans="1:13" ht="12">
      <c r="A703" s="11">
        <v>1</v>
      </c>
      <c r="C703" s="12" t="s">
        <v>36</v>
      </c>
      <c r="E703" s="11">
        <v>1</v>
      </c>
      <c r="F703" s="13"/>
      <c r="G703" s="104">
        <v>6.75</v>
      </c>
      <c r="H703" s="1">
        <v>410312</v>
      </c>
      <c r="I703" s="104">
        <f>7.27</f>
        <v>7.27</v>
      </c>
      <c r="J703" s="1">
        <f>417721</f>
        <v>417721</v>
      </c>
      <c r="K703" s="110"/>
      <c r="L703" s="120">
        <f>0+0+6.27</f>
        <v>6.27</v>
      </c>
      <c r="M703" s="1">
        <f>433339</f>
        <v>433339</v>
      </c>
    </row>
    <row r="704" spans="1:13" ht="12">
      <c r="A704" s="11">
        <v>2</v>
      </c>
      <c r="C704" s="12" t="s">
        <v>37</v>
      </c>
      <c r="E704" s="11">
        <v>2</v>
      </c>
      <c r="F704" s="13"/>
      <c r="G704" s="104"/>
      <c r="H704" s="1">
        <v>72860</v>
      </c>
      <c r="I704" s="104"/>
      <c r="J704" s="1">
        <f>92934-4005</f>
        <v>88929</v>
      </c>
      <c r="K704" s="110"/>
      <c r="L704" s="120"/>
      <c r="M704" s="1">
        <v>92791</v>
      </c>
    </row>
    <row r="705" spans="1:13" ht="12">
      <c r="A705" s="11">
        <v>3</v>
      </c>
      <c r="E705" s="11">
        <v>3</v>
      </c>
      <c r="F705" s="13"/>
      <c r="G705" s="104"/>
      <c r="H705" s="1"/>
      <c r="I705" s="104"/>
      <c r="J705" s="1"/>
      <c r="K705" s="110"/>
      <c r="L705" s="120"/>
      <c r="M705" s="1"/>
    </row>
    <row r="706" spans="1:13" ht="12">
      <c r="A706" s="11">
        <v>4</v>
      </c>
      <c r="C706" s="12" t="s">
        <v>23</v>
      </c>
      <c r="E706" s="11">
        <v>4</v>
      </c>
      <c r="F706" s="13"/>
      <c r="G706" s="104">
        <f>SUM(G703:G705)</f>
        <v>6.75</v>
      </c>
      <c r="H706" s="1">
        <f>SUM(H703:H705)</f>
        <v>483172</v>
      </c>
      <c r="I706" s="104">
        <f>SUM(I703:I705)</f>
        <v>7.27</v>
      </c>
      <c r="J706" s="1">
        <f>SUM(J703:J705)</f>
        <v>506650</v>
      </c>
      <c r="K706" s="30"/>
      <c r="L706" s="120">
        <f>SUM(L703:L705)</f>
        <v>6.27</v>
      </c>
      <c r="M706" s="1">
        <f>SUM(M703:M705)</f>
        <v>526130</v>
      </c>
    </row>
    <row r="707" spans="1:13" ht="12">
      <c r="A707" s="11">
        <v>6</v>
      </c>
      <c r="E707" s="11">
        <v>6</v>
      </c>
      <c r="F707" s="13"/>
      <c r="G707" s="104"/>
      <c r="H707" s="1"/>
      <c r="I707" s="104"/>
      <c r="J707" s="1"/>
      <c r="K707" s="30"/>
      <c r="L707" s="120"/>
      <c r="M707" s="1"/>
    </row>
    <row r="708" spans="1:13" ht="12">
      <c r="A708" s="11">
        <v>7</v>
      </c>
      <c r="C708" s="12" t="s">
        <v>25</v>
      </c>
      <c r="E708" s="11">
        <v>7</v>
      </c>
      <c r="F708" s="13"/>
      <c r="G708" s="104">
        <v>50.4</v>
      </c>
      <c r="H708" s="1">
        <v>1609760</v>
      </c>
      <c r="I708" s="104">
        <v>49.23</v>
      </c>
      <c r="J708" s="1">
        <v>1685968</v>
      </c>
      <c r="K708" s="110"/>
      <c r="L708" s="120">
        <v>52.23</v>
      </c>
      <c r="M708" s="1">
        <v>1928446</v>
      </c>
    </row>
    <row r="709" spans="1:13" ht="12">
      <c r="A709" s="11">
        <v>8</v>
      </c>
      <c r="C709" s="12" t="s">
        <v>26</v>
      </c>
      <c r="E709" s="11">
        <v>8</v>
      </c>
      <c r="F709" s="13"/>
      <c r="G709" s="104"/>
      <c r="H709" s="1">
        <v>353968</v>
      </c>
      <c r="I709" s="104"/>
      <c r="J709" s="1">
        <v>415474</v>
      </c>
      <c r="K709" s="110"/>
      <c r="L709" s="120"/>
      <c r="M709" s="1">
        <v>493361</v>
      </c>
    </row>
    <row r="710" spans="1:13" ht="12">
      <c r="A710" s="11">
        <v>9</v>
      </c>
      <c r="C710" s="12" t="s">
        <v>27</v>
      </c>
      <c r="E710" s="11">
        <v>9</v>
      </c>
      <c r="F710" s="13"/>
      <c r="G710" s="104">
        <f>SUM(G708:G709)</f>
        <v>50.4</v>
      </c>
      <c r="H710" s="1">
        <f>SUM(H708:H709)</f>
        <v>1963728</v>
      </c>
      <c r="I710" s="104">
        <f>SUM(I708:I709)</f>
        <v>49.23</v>
      </c>
      <c r="J710" s="1">
        <f>SUM(J708:J709)</f>
        <v>2101442</v>
      </c>
      <c r="K710" s="30"/>
      <c r="L710" s="120">
        <f>SUM(L708:L709)</f>
        <v>52.23</v>
      </c>
      <c r="M710" s="1">
        <f>SUM(M708:M709)</f>
        <v>2421807</v>
      </c>
    </row>
    <row r="711" spans="1:13" ht="12">
      <c r="A711" s="11">
        <v>10</v>
      </c>
      <c r="E711" s="11">
        <v>10</v>
      </c>
      <c r="F711" s="13"/>
      <c r="G711" s="104"/>
      <c r="H711" s="1"/>
      <c r="I711" s="104"/>
      <c r="J711" s="1"/>
      <c r="K711" s="30"/>
      <c r="L711" s="120"/>
      <c r="M711" s="1"/>
    </row>
    <row r="712" spans="1:13" ht="12">
      <c r="A712" s="11">
        <v>11</v>
      </c>
      <c r="C712" s="12" t="s">
        <v>28</v>
      </c>
      <c r="E712" s="11">
        <v>11</v>
      </c>
      <c r="G712" s="107">
        <f>SUM(G710,G706)</f>
        <v>57.15</v>
      </c>
      <c r="H712" s="100">
        <f>SUM(H710,H706)</f>
        <v>2446900</v>
      </c>
      <c r="I712" s="107">
        <f>SUM(I710,I706)</f>
        <v>56.5</v>
      </c>
      <c r="J712" s="100">
        <f>SUM(J710,J706)</f>
        <v>2608092</v>
      </c>
      <c r="K712" s="30"/>
      <c r="L712" s="121">
        <f>SUM(L710,L706)</f>
        <v>58.5</v>
      </c>
      <c r="M712" s="100">
        <f>SUM(M710,M706)</f>
        <v>2947937</v>
      </c>
    </row>
    <row r="713" spans="1:13" ht="12">
      <c r="A713" s="11">
        <v>12</v>
      </c>
      <c r="E713" s="11">
        <v>12</v>
      </c>
      <c r="G713" s="107"/>
      <c r="H713" s="100"/>
      <c r="I713" s="107"/>
      <c r="J713" s="100"/>
      <c r="K713" s="30"/>
      <c r="L713" s="121"/>
      <c r="M713" s="100"/>
    </row>
    <row r="714" spans="1:13" ht="12">
      <c r="A714" s="11">
        <v>13</v>
      </c>
      <c r="C714" s="12" t="s">
        <v>38</v>
      </c>
      <c r="E714" s="11">
        <v>13</v>
      </c>
      <c r="F714" s="13"/>
      <c r="G714" s="104"/>
      <c r="H714" s="1">
        <v>91704</v>
      </c>
      <c r="I714" s="104"/>
      <c r="J714" s="1">
        <f>93441+439</f>
        <v>93880</v>
      </c>
      <c r="K714" s="110"/>
      <c r="L714" s="120"/>
      <c r="M714" s="1">
        <f>46978+11192</f>
        <v>58170</v>
      </c>
    </row>
    <row r="715" spans="1:13" ht="12">
      <c r="A715" s="11">
        <v>14</v>
      </c>
      <c r="C715" s="12" t="s">
        <v>46</v>
      </c>
      <c r="E715" s="11">
        <v>14</v>
      </c>
      <c r="F715" s="13"/>
      <c r="G715" s="104"/>
      <c r="H715" s="1"/>
      <c r="I715" s="104"/>
      <c r="J715" s="1"/>
      <c r="K715" s="110"/>
      <c r="L715" s="120"/>
      <c r="M715" s="1"/>
    </row>
    <row r="716" spans="1:13" ht="12">
      <c r="A716" s="11">
        <v>15</v>
      </c>
      <c r="C716" s="12" t="s">
        <v>30</v>
      </c>
      <c r="E716" s="11">
        <v>15</v>
      </c>
      <c r="F716" s="13"/>
      <c r="G716" s="104"/>
      <c r="H716" s="1">
        <v>1443</v>
      </c>
      <c r="I716" s="104"/>
      <c r="J716" s="1">
        <v>5395</v>
      </c>
      <c r="K716" s="110"/>
      <c r="L716" s="120"/>
      <c r="M716" s="1">
        <v>5037</v>
      </c>
    </row>
    <row r="717" spans="1:13" ht="12">
      <c r="A717" s="11">
        <v>16</v>
      </c>
      <c r="C717" s="12" t="s">
        <v>45</v>
      </c>
      <c r="E717" s="11">
        <v>16</v>
      </c>
      <c r="F717" s="13"/>
      <c r="G717" s="104"/>
      <c r="H717" s="1">
        <v>1116806</v>
      </c>
      <c r="I717" s="104"/>
      <c r="J717" s="1">
        <v>1094786</v>
      </c>
      <c r="K717" s="110"/>
      <c r="L717" s="120"/>
      <c r="M717" s="1">
        <v>1676919</v>
      </c>
    </row>
    <row r="718" spans="1:13" ht="12">
      <c r="A718" s="11">
        <v>17</v>
      </c>
      <c r="C718" s="12" t="s">
        <v>31</v>
      </c>
      <c r="E718" s="11">
        <v>17</v>
      </c>
      <c r="F718" s="13"/>
      <c r="G718" s="104"/>
      <c r="H718" s="1">
        <v>1083376</v>
      </c>
      <c r="I718" s="104"/>
      <c r="J718" s="1">
        <f>1382126+154793-86936</f>
        <v>1449983</v>
      </c>
      <c r="K718" s="110"/>
      <c r="L718" s="120"/>
      <c r="M718" s="1">
        <f>1357406+-53530</f>
        <v>1303876</v>
      </c>
    </row>
    <row r="719" spans="1:13" ht="12">
      <c r="A719" s="11">
        <v>20</v>
      </c>
      <c r="C719" s="12"/>
      <c r="E719" s="11">
        <v>20</v>
      </c>
      <c r="F719" s="13"/>
      <c r="G719" s="104"/>
      <c r="H719" s="1"/>
      <c r="I719" s="104"/>
      <c r="J719" s="1"/>
      <c r="K719" s="110"/>
      <c r="L719" s="120"/>
      <c r="M719" s="1"/>
    </row>
    <row r="720" spans="5:13" ht="12">
      <c r="E720" s="50"/>
      <c r="F720" s="90" t="s">
        <v>1</v>
      </c>
      <c r="G720" s="89"/>
      <c r="H720" s="90"/>
      <c r="I720" s="90" t="s">
        <v>1</v>
      </c>
      <c r="J720" s="23" t="s">
        <v>1</v>
      </c>
      <c r="K720" s="90" t="s">
        <v>1</v>
      </c>
      <c r="L720" s="123" t="s">
        <v>1</v>
      </c>
      <c r="M720" s="23" t="s">
        <v>1</v>
      </c>
    </row>
    <row r="721" spans="1:13" ht="12">
      <c r="A721" s="11">
        <v>25</v>
      </c>
      <c r="C721" s="124" t="s">
        <v>243</v>
      </c>
      <c r="E721" s="11">
        <v>25</v>
      </c>
      <c r="G721" s="107">
        <f>SUM(G712:G719)</f>
        <v>57.15</v>
      </c>
      <c r="H721" s="100">
        <f>SUM(H712:H719)</f>
        <v>4740229</v>
      </c>
      <c r="I721" s="107">
        <f>SUM(I712:I719)</f>
        <v>56.5</v>
      </c>
      <c r="J721" s="100">
        <f>SUM(J712:J719)</f>
        <v>5252136</v>
      </c>
      <c r="K721" s="25"/>
      <c r="L721" s="121">
        <f>SUM(L712:L719)</f>
        <v>58.5</v>
      </c>
      <c r="M721" s="100">
        <f>SUM(M712:M719)</f>
        <v>5991939</v>
      </c>
    </row>
    <row r="722" spans="4:13" ht="12">
      <c r="D722" s="81"/>
      <c r="F722" s="90" t="s">
        <v>1</v>
      </c>
      <c r="G722" s="90"/>
      <c r="H722" s="90"/>
      <c r="I722" s="22"/>
      <c r="J722" s="23"/>
      <c r="K722" s="90"/>
      <c r="L722" s="123"/>
      <c r="M722" s="23"/>
    </row>
    <row r="723" spans="1:13" ht="12">
      <c r="A723" s="11">
        <v>26</v>
      </c>
      <c r="C723" s="12" t="s">
        <v>47</v>
      </c>
      <c r="E723" s="11">
        <v>26</v>
      </c>
      <c r="F723" s="13"/>
      <c r="G723" s="13"/>
      <c r="H723" s="110"/>
      <c r="I723" s="31"/>
      <c r="J723" s="110"/>
      <c r="K723" s="30"/>
      <c r="L723" s="31"/>
      <c r="M723" s="110"/>
    </row>
    <row r="724" spans="1:13" ht="12">
      <c r="A724" s="11">
        <v>27</v>
      </c>
      <c r="C724" s="12" t="s">
        <v>48</v>
      </c>
      <c r="E724" s="11">
        <v>27</v>
      </c>
      <c r="F724" s="13"/>
      <c r="G724" s="13"/>
      <c r="H724" s="2">
        <v>738712</v>
      </c>
      <c r="I724" s="2"/>
      <c r="J724" s="2">
        <v>811016</v>
      </c>
      <c r="K724" s="2"/>
      <c r="L724" s="2"/>
      <c r="M724" s="2">
        <v>875800</v>
      </c>
    </row>
    <row r="725" spans="1:13" ht="12">
      <c r="A725" s="11">
        <v>29</v>
      </c>
      <c r="C725" s="13" t="s">
        <v>556</v>
      </c>
      <c r="E725" s="11">
        <v>29</v>
      </c>
      <c r="F725" s="13"/>
      <c r="G725" s="13"/>
      <c r="H725" s="2">
        <v>0</v>
      </c>
      <c r="I725" s="2"/>
      <c r="J725" s="2">
        <v>64784</v>
      </c>
      <c r="K725" s="2"/>
      <c r="L725" s="2"/>
      <c r="M725" s="2"/>
    </row>
    <row r="726" spans="1:13" ht="12">
      <c r="A726" s="11">
        <v>30</v>
      </c>
      <c r="C726" s="13" t="s">
        <v>557</v>
      </c>
      <c r="E726" s="11">
        <v>30</v>
      </c>
      <c r="F726" s="13"/>
      <c r="G726" s="13"/>
      <c r="H726" s="2">
        <v>141242</v>
      </c>
      <c r="I726" s="2"/>
      <c r="J726" s="2"/>
      <c r="K726" s="2"/>
      <c r="L726" s="2"/>
      <c r="M726" s="2"/>
    </row>
    <row r="727" spans="1:13" ht="12">
      <c r="A727" s="11">
        <v>31</v>
      </c>
      <c r="C727" s="13" t="s">
        <v>558</v>
      </c>
      <c r="E727" s="11">
        <v>31</v>
      </c>
      <c r="F727" s="13"/>
      <c r="G727" s="13"/>
      <c r="H727" s="2">
        <v>2559</v>
      </c>
      <c r="I727" s="2"/>
      <c r="J727" s="2"/>
      <c r="K727" s="2"/>
      <c r="L727" s="2"/>
      <c r="M727" s="2"/>
    </row>
    <row r="728" spans="1:13" ht="12">
      <c r="A728" s="11">
        <v>32</v>
      </c>
      <c r="C728" s="13" t="s">
        <v>559</v>
      </c>
      <c r="E728" s="11">
        <v>32</v>
      </c>
      <c r="H728" s="65">
        <v>430</v>
      </c>
      <c r="I728" s="2"/>
      <c r="J728" s="65"/>
      <c r="K728" s="2"/>
      <c r="L728" s="2"/>
      <c r="M728" s="65"/>
    </row>
    <row r="729" spans="1:13" ht="12">
      <c r="A729" s="11">
        <v>33</v>
      </c>
      <c r="C729" s="13" t="s">
        <v>560</v>
      </c>
      <c r="E729" s="11">
        <v>33</v>
      </c>
      <c r="H729" s="65">
        <v>0</v>
      </c>
      <c r="I729" s="2"/>
      <c r="J729" s="65">
        <v>6000</v>
      </c>
      <c r="K729" s="2"/>
      <c r="L729" s="2"/>
      <c r="M729" s="65"/>
    </row>
    <row r="730" spans="1:13" ht="12">
      <c r="A730" s="11">
        <v>34</v>
      </c>
      <c r="C730" s="13" t="s">
        <v>561</v>
      </c>
      <c r="E730" s="11">
        <v>34</v>
      </c>
      <c r="H730" s="65"/>
      <c r="I730" s="2"/>
      <c r="J730" s="65">
        <v>2600</v>
      </c>
      <c r="K730" s="2"/>
      <c r="L730" s="2"/>
      <c r="M730" s="65"/>
    </row>
    <row r="731" spans="1:13" ht="12">
      <c r="A731" s="11">
        <v>35</v>
      </c>
      <c r="C731" s="13" t="s">
        <v>562</v>
      </c>
      <c r="E731" s="11">
        <v>35</v>
      </c>
      <c r="H731" s="65"/>
      <c r="I731" s="2"/>
      <c r="J731" s="65"/>
      <c r="K731" s="2"/>
      <c r="L731" s="2"/>
      <c r="M731" s="65">
        <v>140000</v>
      </c>
    </row>
    <row r="732" spans="1:13" ht="12">
      <c r="A732" s="11">
        <v>36</v>
      </c>
      <c r="C732" s="13" t="s">
        <v>563</v>
      </c>
      <c r="E732" s="11">
        <v>36</v>
      </c>
      <c r="H732" s="65"/>
      <c r="I732" s="2"/>
      <c r="J732" s="65"/>
      <c r="K732" s="2"/>
      <c r="L732" s="2"/>
      <c r="M732" s="65">
        <v>2653</v>
      </c>
    </row>
    <row r="733" spans="1:13" ht="12">
      <c r="A733" s="11">
        <v>37</v>
      </c>
      <c r="C733" s="13" t="s">
        <v>564</v>
      </c>
      <c r="E733" s="11">
        <v>37</v>
      </c>
      <c r="H733" s="65"/>
      <c r="I733" s="2"/>
      <c r="J733" s="65"/>
      <c r="K733" s="2"/>
      <c r="L733" s="2"/>
      <c r="M733" s="65">
        <v>3398</v>
      </c>
    </row>
    <row r="734" spans="1:13" ht="12">
      <c r="A734" s="11">
        <v>38</v>
      </c>
      <c r="C734" s="12" t="s">
        <v>50</v>
      </c>
      <c r="E734" s="11">
        <v>38</v>
      </c>
      <c r="F734" s="13"/>
      <c r="G734" s="13"/>
      <c r="H734" s="2">
        <v>0</v>
      </c>
      <c r="I734" s="2"/>
      <c r="J734" s="2">
        <v>0</v>
      </c>
      <c r="K734" s="2"/>
      <c r="L734" s="2"/>
      <c r="M734" s="2">
        <v>0</v>
      </c>
    </row>
    <row r="735" spans="1:13" ht="12">
      <c r="A735" s="11">
        <v>39</v>
      </c>
      <c r="C735" s="13" t="s">
        <v>565</v>
      </c>
      <c r="E735" s="11">
        <v>39</v>
      </c>
      <c r="F735" s="13"/>
      <c r="G735" s="13"/>
      <c r="H735" s="2">
        <v>50716</v>
      </c>
      <c r="I735" s="2"/>
      <c r="J735" s="2"/>
      <c r="K735" s="2"/>
      <c r="L735" s="2"/>
      <c r="M735" s="2"/>
    </row>
    <row r="736" spans="1:13" ht="12">
      <c r="A736" s="11">
        <v>40</v>
      </c>
      <c r="C736" s="13" t="s">
        <v>566</v>
      </c>
      <c r="E736" s="11">
        <v>40</v>
      </c>
      <c r="F736" s="13"/>
      <c r="G736" s="13"/>
      <c r="H736" s="2">
        <v>2918</v>
      </c>
      <c r="I736" s="2"/>
      <c r="J736" s="2"/>
      <c r="K736" s="2"/>
      <c r="L736" s="2"/>
      <c r="M736" s="2"/>
    </row>
    <row r="737" spans="1:13" ht="12">
      <c r="A737" s="11">
        <v>41</v>
      </c>
      <c r="C737" s="13" t="s">
        <v>567</v>
      </c>
      <c r="E737" s="11">
        <v>41</v>
      </c>
      <c r="F737" s="13"/>
      <c r="G737" s="13"/>
      <c r="H737" s="2">
        <v>13410</v>
      </c>
      <c r="I737" s="2"/>
      <c r="J737" s="2"/>
      <c r="K737" s="2"/>
      <c r="L737" s="2"/>
      <c r="M737" s="2"/>
    </row>
    <row r="738" spans="1:13" ht="12">
      <c r="A738" s="11">
        <v>42</v>
      </c>
      <c r="C738" s="13" t="s">
        <v>568</v>
      </c>
      <c r="E738" s="11">
        <v>42</v>
      </c>
      <c r="F738" s="13"/>
      <c r="G738" s="13"/>
      <c r="H738" s="2">
        <v>317</v>
      </c>
      <c r="I738" s="2"/>
      <c r="J738" s="2"/>
      <c r="K738" s="2"/>
      <c r="L738" s="2"/>
      <c r="M738" s="2"/>
    </row>
    <row r="739" spans="1:13" ht="12">
      <c r="A739" s="11">
        <v>43</v>
      </c>
      <c r="C739" s="13" t="s">
        <v>569</v>
      </c>
      <c r="E739" s="11">
        <v>43</v>
      </c>
      <c r="F739" s="13"/>
      <c r="G739" s="13"/>
      <c r="H739" s="2">
        <v>1379</v>
      </c>
      <c r="I739" s="2"/>
      <c r="J739" s="2"/>
      <c r="K739" s="2"/>
      <c r="L739" s="2"/>
      <c r="M739" s="2"/>
    </row>
    <row r="740" spans="1:13" ht="12">
      <c r="A740" s="11">
        <v>44</v>
      </c>
      <c r="C740" s="13" t="s">
        <v>570</v>
      </c>
      <c r="E740" s="11">
        <v>44</v>
      </c>
      <c r="F740" s="13"/>
      <c r="G740" s="13"/>
      <c r="H740" s="2">
        <v>534</v>
      </c>
      <c r="I740" s="2"/>
      <c r="J740" s="2"/>
      <c r="K740" s="2"/>
      <c r="L740" s="2"/>
      <c r="M740" s="2"/>
    </row>
    <row r="741" spans="1:13" ht="12">
      <c r="A741" s="11">
        <v>45</v>
      </c>
      <c r="C741" s="13" t="s">
        <v>563</v>
      </c>
      <c r="E741" s="11">
        <v>45</v>
      </c>
      <c r="F741" s="13"/>
      <c r="G741" s="13"/>
      <c r="H741" s="2">
        <v>2653</v>
      </c>
      <c r="I741" s="2"/>
      <c r="J741" s="2"/>
      <c r="K741" s="2"/>
      <c r="L741" s="2"/>
      <c r="M741" s="2"/>
    </row>
    <row r="742" spans="1:13" ht="12">
      <c r="A742" s="11">
        <v>46</v>
      </c>
      <c r="C742" s="13" t="s">
        <v>571</v>
      </c>
      <c r="E742" s="11">
        <v>46</v>
      </c>
      <c r="F742" s="13"/>
      <c r="G742" s="13"/>
      <c r="H742" s="2"/>
      <c r="I742" s="2"/>
      <c r="J742" s="2"/>
      <c r="K742" s="2"/>
      <c r="L742" s="2"/>
      <c r="M742" s="2">
        <v>69527</v>
      </c>
    </row>
    <row r="743" spans="1:13" ht="12">
      <c r="A743" s="11">
        <v>47</v>
      </c>
      <c r="C743" s="12" t="s">
        <v>51</v>
      </c>
      <c r="E743" s="11">
        <v>47</v>
      </c>
      <c r="H743" s="65">
        <f>(SUM(H724:H728))-(SUM(H734:H742))</f>
        <v>811016</v>
      </c>
      <c r="I743" s="62"/>
      <c r="J743" s="65">
        <f>(SUM(J724:J728))-(SUM(J734:J742))</f>
        <v>875800</v>
      </c>
      <c r="K743" s="62"/>
      <c r="L743" s="62"/>
      <c r="M743" s="65">
        <f>(SUM(M724:M733))-(SUM(M734:M742))</f>
        <v>952324</v>
      </c>
    </row>
    <row r="744" spans="1:13" ht="12">
      <c r="A744" s="11">
        <v>49</v>
      </c>
      <c r="C744" s="12" t="s">
        <v>52</v>
      </c>
      <c r="E744" s="11">
        <v>48</v>
      </c>
      <c r="F744" s="13"/>
      <c r="G744" s="13"/>
      <c r="H744" s="67">
        <v>81.77</v>
      </c>
      <c r="I744" s="2"/>
      <c r="J744" s="67">
        <v>94.41</v>
      </c>
      <c r="K744" s="2"/>
      <c r="L744" s="2"/>
      <c r="M744" s="67">
        <v>99.37</v>
      </c>
    </row>
    <row r="745" ht="12">
      <c r="A745" s="12"/>
    </row>
    <row r="746" spans="1:13" ht="12">
      <c r="A746" s="19" t="str">
        <f>$A$36</f>
        <v>Institution No.:  GFC</v>
      </c>
      <c r="B746" s="46"/>
      <c r="C746" s="46"/>
      <c r="D746" s="46"/>
      <c r="E746" s="51"/>
      <c r="F746" s="46"/>
      <c r="G746" s="46"/>
      <c r="H746" s="46"/>
      <c r="I746" s="52"/>
      <c r="J746" s="53"/>
      <c r="K746" s="46"/>
      <c r="L746" s="52"/>
      <c r="M746" s="18" t="s">
        <v>53</v>
      </c>
    </row>
    <row r="747" spans="1:13" s="46" customFormat="1" ht="12">
      <c r="A747" s="274" t="s">
        <v>155</v>
      </c>
      <c r="B747" s="274"/>
      <c r="C747" s="274"/>
      <c r="D747" s="274"/>
      <c r="E747" s="274"/>
      <c r="F747" s="274"/>
      <c r="G747" s="274"/>
      <c r="H747" s="274"/>
      <c r="I747" s="274"/>
      <c r="J747" s="274"/>
      <c r="K747" s="274"/>
      <c r="L747" s="274"/>
      <c r="M747" s="274"/>
    </row>
    <row r="748" spans="1:13" s="46" customFormat="1" ht="12">
      <c r="A748" s="19" t="s">
        <v>664</v>
      </c>
      <c r="B748" s="7"/>
      <c r="C748" s="7" t="s">
        <v>540</v>
      </c>
      <c r="D748" s="7"/>
      <c r="E748" s="7"/>
      <c r="F748" s="92"/>
      <c r="G748" s="92"/>
      <c r="H748" s="92"/>
      <c r="I748" s="85"/>
      <c r="J748" s="86"/>
      <c r="K748" s="7"/>
      <c r="L748" s="17"/>
      <c r="M748" s="20" t="str">
        <f>$M$3</f>
        <v>Date: 10/1/2008</v>
      </c>
    </row>
    <row r="749" spans="1:13" ht="12">
      <c r="A749" s="21" t="s">
        <v>1</v>
      </c>
      <c r="B749" s="21" t="s">
        <v>1</v>
      </c>
      <c r="C749" s="21" t="s">
        <v>1</v>
      </c>
      <c r="D749" s="21" t="s">
        <v>1</v>
      </c>
      <c r="E749" s="21" t="s">
        <v>1</v>
      </c>
      <c r="F749" s="21" t="s">
        <v>1</v>
      </c>
      <c r="G749" s="21"/>
      <c r="H749" s="21"/>
      <c r="I749" s="22" t="s">
        <v>1</v>
      </c>
      <c r="J749" s="23" t="s">
        <v>1</v>
      </c>
      <c r="K749" s="21" t="s">
        <v>1</v>
      </c>
      <c r="L749" s="22" t="s">
        <v>1</v>
      </c>
      <c r="M749" s="23" t="s">
        <v>1</v>
      </c>
    </row>
    <row r="750" spans="1:13" ht="12">
      <c r="A750" s="24" t="s">
        <v>2</v>
      </c>
      <c r="E750" s="24" t="s">
        <v>2</v>
      </c>
      <c r="F750" s="25"/>
      <c r="G750" s="26"/>
      <c r="H750" s="25" t="s">
        <v>249</v>
      </c>
      <c r="I750" s="26"/>
      <c r="J750" s="27" t="s">
        <v>251</v>
      </c>
      <c r="K750" s="25"/>
      <c r="L750" s="26"/>
      <c r="M750" s="27" t="s">
        <v>260</v>
      </c>
    </row>
    <row r="751" spans="1:13" ht="12">
      <c r="A751" s="24" t="s">
        <v>4</v>
      </c>
      <c r="C751" s="28" t="s">
        <v>20</v>
      </c>
      <c r="E751" s="24" t="s">
        <v>4</v>
      </c>
      <c r="H751" s="27" t="s">
        <v>7</v>
      </c>
      <c r="I751" s="17"/>
      <c r="J751" s="27" t="s">
        <v>7</v>
      </c>
      <c r="L751" s="17"/>
      <c r="M751" s="27" t="s">
        <v>8</v>
      </c>
    </row>
    <row r="752" spans="1:13" ht="12">
      <c r="A752" s="21" t="s">
        <v>1</v>
      </c>
      <c r="B752" s="21" t="s">
        <v>1</v>
      </c>
      <c r="C752" s="21" t="s">
        <v>1</v>
      </c>
      <c r="D752" s="21" t="s">
        <v>1</v>
      </c>
      <c r="E752" s="21" t="s">
        <v>1</v>
      </c>
      <c r="F752" s="21" t="s">
        <v>1</v>
      </c>
      <c r="G752" s="21"/>
      <c r="H752" s="21"/>
      <c r="I752" s="22" t="s">
        <v>1</v>
      </c>
      <c r="J752" s="23" t="s">
        <v>1</v>
      </c>
      <c r="K752" s="21" t="s">
        <v>1</v>
      </c>
      <c r="L752" s="22" t="s">
        <v>1</v>
      </c>
      <c r="M752" s="23" t="s">
        <v>1</v>
      </c>
    </row>
    <row r="753" spans="1:13" ht="12">
      <c r="A753" s="11">
        <v>1</v>
      </c>
      <c r="C753" s="12" t="s">
        <v>54</v>
      </c>
      <c r="E753" s="11">
        <v>1</v>
      </c>
      <c r="F753" s="13"/>
      <c r="G753" s="13"/>
      <c r="H753" s="1">
        <v>3151024</v>
      </c>
      <c r="I753" s="1"/>
      <c r="J753" s="1">
        <f>11041143+1765327-8934840-287147</f>
        <v>3584483</v>
      </c>
      <c r="K753" s="1"/>
      <c r="L753" s="1"/>
      <c r="M753" s="1">
        <v>3554763</v>
      </c>
    </row>
    <row r="754" spans="1:13" ht="12">
      <c r="A754" s="11">
        <f aca="true" t="shared" si="14" ref="A754:A771">(A753+1)</f>
        <v>2</v>
      </c>
      <c r="C754" s="13"/>
      <c r="E754" s="11">
        <f aca="true" t="shared" si="15" ref="E754:E771">(E753+1)</f>
        <v>2</v>
      </c>
      <c r="F754" s="13"/>
      <c r="G754" s="13"/>
      <c r="H754" s="13"/>
      <c r="I754" s="14"/>
      <c r="J754" s="15"/>
      <c r="K754" s="13"/>
      <c r="L754" s="14"/>
      <c r="M754" s="15"/>
    </row>
    <row r="755" spans="1:15" ht="12">
      <c r="A755" s="11">
        <f t="shared" si="14"/>
        <v>3</v>
      </c>
      <c r="C755" s="13"/>
      <c r="E755" s="11">
        <f t="shared" si="15"/>
        <v>3</v>
      </c>
      <c r="F755" s="13"/>
      <c r="G755" s="13"/>
      <c r="H755" s="13"/>
      <c r="I755" s="14"/>
      <c r="J755" s="15"/>
      <c r="K755" s="13"/>
      <c r="L755" s="14"/>
      <c r="M755" s="15"/>
      <c r="N755" s="276"/>
      <c r="O755" s="276"/>
    </row>
    <row r="756" spans="1:15" ht="12">
      <c r="A756" s="11">
        <f t="shared" si="14"/>
        <v>4</v>
      </c>
      <c r="C756" s="13"/>
      <c r="E756" s="11">
        <f t="shared" si="15"/>
        <v>4</v>
      </c>
      <c r="F756" s="13"/>
      <c r="G756" s="13"/>
      <c r="H756" s="13"/>
      <c r="I756" s="14"/>
      <c r="J756" s="15"/>
      <c r="K756" s="13"/>
      <c r="L756" s="14"/>
      <c r="M756" s="15"/>
      <c r="N756" s="276"/>
      <c r="O756" s="276"/>
    </row>
    <row r="757" spans="1:15" ht="12">
      <c r="A757" s="11">
        <f t="shared" si="14"/>
        <v>5</v>
      </c>
      <c r="C757" s="13"/>
      <c r="E757" s="11">
        <f t="shared" si="15"/>
        <v>5</v>
      </c>
      <c r="F757" s="13"/>
      <c r="G757" s="13"/>
      <c r="H757" s="13"/>
      <c r="I757" s="14"/>
      <c r="J757" s="15"/>
      <c r="K757" s="13"/>
      <c r="L757" s="14"/>
      <c r="M757" s="15"/>
      <c r="N757" s="276"/>
      <c r="O757" s="276"/>
    </row>
    <row r="758" spans="1:15" ht="12">
      <c r="A758" s="11">
        <f t="shared" si="14"/>
        <v>6</v>
      </c>
      <c r="C758" s="13"/>
      <c r="E758" s="11">
        <f t="shared" si="15"/>
        <v>6</v>
      </c>
      <c r="F758" s="13"/>
      <c r="G758" s="13"/>
      <c r="H758" s="13"/>
      <c r="I758" s="14"/>
      <c r="J758" s="15"/>
      <c r="K758" s="13"/>
      <c r="L758" s="14"/>
      <c r="M758" s="15"/>
      <c r="N758" s="276"/>
      <c r="O758" s="276"/>
    </row>
    <row r="759" spans="1:13" ht="12">
      <c r="A759" s="11">
        <f t="shared" si="14"/>
        <v>7</v>
      </c>
      <c r="C759" s="13"/>
      <c r="E759" s="11">
        <f t="shared" si="15"/>
        <v>7</v>
      </c>
      <c r="F759" s="13"/>
      <c r="G759" s="13"/>
      <c r="H759" s="13"/>
      <c r="I759" s="14"/>
      <c r="J759" s="15"/>
      <c r="K759" s="13"/>
      <c r="L759" s="14"/>
      <c r="M759" s="15"/>
    </row>
    <row r="760" spans="1:13" ht="12">
      <c r="A760" s="11">
        <f t="shared" si="14"/>
        <v>8</v>
      </c>
      <c r="C760" s="13"/>
      <c r="E760" s="11">
        <f t="shared" si="15"/>
        <v>8</v>
      </c>
      <c r="F760" s="13"/>
      <c r="G760" s="13"/>
      <c r="H760" s="13"/>
      <c r="I760" s="14"/>
      <c r="J760" s="15"/>
      <c r="K760" s="13"/>
      <c r="L760" s="14"/>
      <c r="M760" s="15"/>
    </row>
    <row r="761" spans="1:13" ht="12">
      <c r="A761" s="11">
        <f t="shared" si="14"/>
        <v>9</v>
      </c>
      <c r="C761" s="13"/>
      <c r="E761" s="11">
        <f t="shared" si="15"/>
        <v>9</v>
      </c>
      <c r="F761" s="13"/>
      <c r="G761" s="13"/>
      <c r="H761" s="13"/>
      <c r="I761" s="14"/>
      <c r="J761" s="15"/>
      <c r="K761" s="13"/>
      <c r="L761" s="14"/>
      <c r="M761" s="15"/>
    </row>
    <row r="762" spans="1:13" ht="12">
      <c r="A762" s="11">
        <f t="shared" si="14"/>
        <v>10</v>
      </c>
      <c r="C762" s="13"/>
      <c r="E762" s="11">
        <f t="shared" si="15"/>
        <v>10</v>
      </c>
      <c r="F762" s="13"/>
      <c r="G762" s="13"/>
      <c r="H762" s="13"/>
      <c r="I762" s="14"/>
      <c r="J762" s="15"/>
      <c r="K762" s="13"/>
      <c r="L762" s="14"/>
      <c r="M762" s="15"/>
    </row>
    <row r="763" spans="1:13" ht="12">
      <c r="A763" s="11">
        <f t="shared" si="14"/>
        <v>11</v>
      </c>
      <c r="C763" s="13"/>
      <c r="E763" s="11">
        <f t="shared" si="15"/>
        <v>11</v>
      </c>
      <c r="I763" s="14"/>
      <c r="J763" s="15"/>
      <c r="K763" s="13"/>
      <c r="L763" s="14"/>
      <c r="M763" s="15"/>
    </row>
    <row r="764" spans="1:13" ht="12">
      <c r="A764" s="11">
        <f t="shared" si="14"/>
        <v>12</v>
      </c>
      <c r="C764" s="13"/>
      <c r="E764" s="11">
        <f t="shared" si="15"/>
        <v>12</v>
      </c>
      <c r="I764" s="14"/>
      <c r="J764" s="15"/>
      <c r="K764" s="13"/>
      <c r="L764" s="14"/>
      <c r="M764" s="15"/>
    </row>
    <row r="765" spans="1:13" ht="12">
      <c r="A765" s="11">
        <f t="shared" si="14"/>
        <v>13</v>
      </c>
      <c r="C765" s="13"/>
      <c r="E765" s="11">
        <f t="shared" si="15"/>
        <v>13</v>
      </c>
      <c r="F765" s="13"/>
      <c r="G765" s="13"/>
      <c r="H765" s="13"/>
      <c r="I765" s="14"/>
      <c r="J765" s="15"/>
      <c r="K765" s="13"/>
      <c r="L765" s="14"/>
      <c r="M765" s="15"/>
    </row>
    <row r="766" spans="1:13" ht="12">
      <c r="A766" s="11">
        <f t="shared" si="14"/>
        <v>14</v>
      </c>
      <c r="C766" s="13"/>
      <c r="E766" s="11">
        <f t="shared" si="15"/>
        <v>14</v>
      </c>
      <c r="F766" s="13"/>
      <c r="G766" s="13"/>
      <c r="H766" s="13"/>
      <c r="I766" s="14"/>
      <c r="J766" s="15"/>
      <c r="K766" s="13"/>
      <c r="L766" s="14"/>
      <c r="M766" s="15"/>
    </row>
    <row r="767" spans="1:13" ht="12">
      <c r="A767" s="11">
        <f t="shared" si="14"/>
        <v>15</v>
      </c>
      <c r="C767" s="13"/>
      <c r="E767" s="11">
        <f t="shared" si="15"/>
        <v>15</v>
      </c>
      <c r="F767" s="13"/>
      <c r="G767" s="13"/>
      <c r="H767" s="13"/>
      <c r="I767" s="14"/>
      <c r="J767" s="15"/>
      <c r="K767" s="13"/>
      <c r="L767" s="14"/>
      <c r="M767" s="15"/>
    </row>
    <row r="768" spans="1:13" ht="12">
      <c r="A768" s="11">
        <f t="shared" si="14"/>
        <v>16</v>
      </c>
      <c r="C768" s="13"/>
      <c r="E768" s="11">
        <f t="shared" si="15"/>
        <v>16</v>
      </c>
      <c r="F768" s="13"/>
      <c r="G768" s="13"/>
      <c r="H768" s="13"/>
      <c r="I768" s="14"/>
      <c r="J768" s="15"/>
      <c r="K768" s="13"/>
      <c r="L768" s="14"/>
      <c r="M768" s="15"/>
    </row>
    <row r="769" spans="1:13" ht="12">
      <c r="A769" s="11">
        <f t="shared" si="14"/>
        <v>17</v>
      </c>
      <c r="C769" s="13"/>
      <c r="E769" s="11">
        <f t="shared" si="15"/>
        <v>17</v>
      </c>
      <c r="F769" s="13"/>
      <c r="G769" s="13"/>
      <c r="H769" s="13"/>
      <c r="I769" s="14"/>
      <c r="J769" s="15"/>
      <c r="K769" s="13"/>
      <c r="L769" s="14"/>
      <c r="M769" s="15"/>
    </row>
    <row r="770" spans="1:13" ht="12">
      <c r="A770" s="11">
        <f t="shared" si="14"/>
        <v>18</v>
      </c>
      <c r="C770" s="13"/>
      <c r="E770" s="11">
        <f t="shared" si="15"/>
        <v>18</v>
      </c>
      <c r="F770" s="13"/>
      <c r="G770" s="13"/>
      <c r="H770" s="13"/>
      <c r="I770" s="14"/>
      <c r="J770" s="15"/>
      <c r="K770" s="13"/>
      <c r="L770" s="14"/>
      <c r="M770" s="15"/>
    </row>
    <row r="771" spans="1:13" ht="12">
      <c r="A771" s="11">
        <f t="shared" si="14"/>
        <v>19</v>
      </c>
      <c r="C771" s="13"/>
      <c r="E771" s="11">
        <f t="shared" si="15"/>
        <v>19</v>
      </c>
      <c r="F771" s="13"/>
      <c r="G771" s="13"/>
      <c r="H771" s="13"/>
      <c r="I771" s="14"/>
      <c r="J771" s="15"/>
      <c r="K771" s="13"/>
      <c r="L771" s="14"/>
      <c r="M771" s="15"/>
    </row>
    <row r="772" spans="1:13" ht="12">
      <c r="A772" s="11">
        <v>20</v>
      </c>
      <c r="E772" s="11">
        <v>20</v>
      </c>
      <c r="F772" s="90"/>
      <c r="G772" s="90"/>
      <c r="H772" s="90"/>
      <c r="I772" s="22"/>
      <c r="J772" s="23"/>
      <c r="K772" s="90"/>
      <c r="L772" s="22"/>
      <c r="M772" s="23"/>
    </row>
    <row r="773" spans="1:13" ht="12">
      <c r="A773" s="11">
        <v>21</v>
      </c>
      <c r="E773" s="11">
        <v>21</v>
      </c>
      <c r="F773" s="90"/>
      <c r="G773" s="90"/>
      <c r="H773" s="90"/>
      <c r="I773" s="22"/>
      <c r="J773" s="55"/>
      <c r="K773" s="90"/>
      <c r="L773" s="22"/>
      <c r="M773" s="55"/>
    </row>
    <row r="774" spans="1:13" ht="12">
      <c r="A774" s="11">
        <v>22</v>
      </c>
      <c r="E774" s="11">
        <v>22</v>
      </c>
      <c r="I774" s="17"/>
      <c r="J774" s="55"/>
      <c r="L774" s="17"/>
      <c r="M774" s="55"/>
    </row>
    <row r="775" spans="1:13" ht="12">
      <c r="A775" s="11">
        <v>23</v>
      </c>
      <c r="D775" s="81"/>
      <c r="E775" s="11">
        <v>23</v>
      </c>
      <c r="J775" s="55"/>
      <c r="M775" s="55"/>
    </row>
    <row r="776" spans="1:13" ht="12">
      <c r="A776" s="11">
        <v>24</v>
      </c>
      <c r="D776" s="81"/>
      <c r="E776" s="11">
        <v>24</v>
      </c>
      <c r="J776" s="55"/>
      <c r="M776" s="55"/>
    </row>
    <row r="777" spans="6:13" ht="12">
      <c r="F777" s="90" t="s">
        <v>1</v>
      </c>
      <c r="G777" s="90"/>
      <c r="H777" s="90"/>
      <c r="I777" s="22" t="s">
        <v>1</v>
      </c>
      <c r="J777" s="23"/>
      <c r="K777" s="90"/>
      <c r="L777" s="22"/>
      <c r="M777" s="23"/>
    </row>
    <row r="778" spans="1:13" ht="12">
      <c r="A778" s="11">
        <v>25</v>
      </c>
      <c r="C778" s="12" t="s">
        <v>240</v>
      </c>
      <c r="E778" s="11">
        <v>25</v>
      </c>
      <c r="H778" s="100">
        <f>SUM(H753:H776)</f>
        <v>3151024</v>
      </c>
      <c r="I778" s="101"/>
      <c r="J778" s="100">
        <f>SUM(J753:J776)</f>
        <v>3584483</v>
      </c>
      <c r="K778" s="100"/>
      <c r="L778" s="101"/>
      <c r="M778" s="100">
        <f>SUM(M753:M776)</f>
        <v>3554763</v>
      </c>
    </row>
    <row r="779" spans="4:13" ht="12">
      <c r="D779" s="81"/>
      <c r="F779" s="90" t="s">
        <v>1</v>
      </c>
      <c r="G779" s="90"/>
      <c r="H779" s="90"/>
      <c r="I779" s="22" t="s">
        <v>1</v>
      </c>
      <c r="J779" s="23"/>
      <c r="K779" s="90"/>
      <c r="L779" s="22"/>
      <c r="M779" s="23"/>
    </row>
    <row r="780" spans="6:13" ht="12">
      <c r="F780" s="90"/>
      <c r="G780" s="90"/>
      <c r="H780" s="90"/>
      <c r="I780" s="22"/>
      <c r="J780" s="23"/>
      <c r="K780" s="90"/>
      <c r="L780" s="22"/>
      <c r="M780" s="23"/>
    </row>
    <row r="781" spans="9:13" ht="12">
      <c r="I781" s="17"/>
      <c r="J781" s="55"/>
      <c r="L781" s="17"/>
      <c r="M781" s="55"/>
    </row>
    <row r="782" spans="3:13" ht="12">
      <c r="C782" s="7" t="s">
        <v>572</v>
      </c>
      <c r="E782" s="7">
        <v>26</v>
      </c>
      <c r="H782" s="102">
        <v>11368663</v>
      </c>
      <c r="I782" s="17"/>
      <c r="J782" s="55">
        <f>11041143+1765327</f>
        <v>12806470</v>
      </c>
      <c r="L782" s="17"/>
      <c r="M782" s="146">
        <f>11564242+1882551</f>
        <v>13446793</v>
      </c>
    </row>
    <row r="783" ht="12">
      <c r="A783" s="12"/>
    </row>
    <row r="785" spans="1:13" ht="12">
      <c r="A785" s="19" t="str">
        <f>$A$36</f>
        <v>Institution No.:  GFC</v>
      </c>
      <c r="B785" s="46"/>
      <c r="C785" s="46"/>
      <c r="D785" s="46"/>
      <c r="E785" s="51"/>
      <c r="F785" s="46"/>
      <c r="G785" s="46"/>
      <c r="H785" s="46"/>
      <c r="I785" s="52"/>
      <c r="J785" s="53"/>
      <c r="K785" s="46"/>
      <c r="L785" s="52"/>
      <c r="M785" s="18" t="s">
        <v>55</v>
      </c>
    </row>
    <row r="786" spans="1:13" s="46" customFormat="1" ht="12">
      <c r="A786" s="274" t="s">
        <v>156</v>
      </c>
      <c r="B786" s="274"/>
      <c r="C786" s="274"/>
      <c r="D786" s="274"/>
      <c r="E786" s="274"/>
      <c r="F786" s="274"/>
      <c r="G786" s="274"/>
      <c r="H786" s="274"/>
      <c r="I786" s="274"/>
      <c r="J786" s="274"/>
      <c r="K786" s="274"/>
      <c r="L786" s="274"/>
      <c r="M786" s="274"/>
    </row>
    <row r="787" spans="1:13" s="46" customFormat="1" ht="12">
      <c r="A787" s="19" t="s">
        <v>664</v>
      </c>
      <c r="B787" s="7"/>
      <c r="C787" s="7" t="s">
        <v>540</v>
      </c>
      <c r="D787" s="7"/>
      <c r="E787" s="7"/>
      <c r="F787" s="7"/>
      <c r="G787" s="7"/>
      <c r="H787" s="7"/>
      <c r="I787" s="125"/>
      <c r="J787" s="55"/>
      <c r="K787" s="7"/>
      <c r="L787" s="17"/>
      <c r="M787" s="20" t="str">
        <f>$M$3</f>
        <v>Date: 10/1/2008</v>
      </c>
    </row>
    <row r="788" spans="1:13" ht="12">
      <c r="A788" s="21" t="s">
        <v>1</v>
      </c>
      <c r="B788" s="21" t="s">
        <v>1</v>
      </c>
      <c r="C788" s="21" t="s">
        <v>1</v>
      </c>
      <c r="D788" s="21" t="s">
        <v>1</v>
      </c>
      <c r="E788" s="21" t="s">
        <v>1</v>
      </c>
      <c r="F788" s="21" t="s">
        <v>1</v>
      </c>
      <c r="G788" s="21"/>
      <c r="H788" s="21"/>
      <c r="I788" s="22" t="s">
        <v>1</v>
      </c>
      <c r="J788" s="23" t="s">
        <v>1</v>
      </c>
      <c r="K788" s="21" t="s">
        <v>1</v>
      </c>
      <c r="L788" s="22" t="s">
        <v>1</v>
      </c>
      <c r="M788" s="23" t="s">
        <v>1</v>
      </c>
    </row>
    <row r="789" spans="1:13" ht="12">
      <c r="A789" s="24" t="s">
        <v>2</v>
      </c>
      <c r="E789" s="24" t="s">
        <v>2</v>
      </c>
      <c r="F789" s="25"/>
      <c r="G789" s="26"/>
      <c r="H789" s="25" t="s">
        <v>249</v>
      </c>
      <c r="I789" s="26"/>
      <c r="J789" s="27" t="s">
        <v>251</v>
      </c>
      <c r="K789" s="25"/>
      <c r="L789" s="26"/>
      <c r="M789" s="27" t="s">
        <v>260</v>
      </c>
    </row>
    <row r="790" spans="1:13" ht="12">
      <c r="A790" s="24" t="s">
        <v>4</v>
      </c>
      <c r="C790" s="28" t="s">
        <v>20</v>
      </c>
      <c r="E790" s="24" t="s">
        <v>4</v>
      </c>
      <c r="F790" s="25"/>
      <c r="G790" s="26" t="s">
        <v>21</v>
      </c>
      <c r="H790" s="27" t="s">
        <v>7</v>
      </c>
      <c r="I790" s="26" t="s">
        <v>21</v>
      </c>
      <c r="J790" s="27" t="s">
        <v>7</v>
      </c>
      <c r="K790" s="25"/>
      <c r="L790" s="26" t="s">
        <v>21</v>
      </c>
      <c r="M790" s="27" t="s">
        <v>8</v>
      </c>
    </row>
    <row r="791" spans="1:13" ht="12">
      <c r="A791" s="21" t="s">
        <v>1</v>
      </c>
      <c r="B791" s="21" t="s">
        <v>1</v>
      </c>
      <c r="C791" s="21" t="s">
        <v>1</v>
      </c>
      <c r="D791" s="21" t="s">
        <v>1</v>
      </c>
      <c r="E791" s="21" t="s">
        <v>1</v>
      </c>
      <c r="F791" s="21" t="s">
        <v>1</v>
      </c>
      <c r="G791" s="21"/>
      <c r="H791" s="21"/>
      <c r="I791" s="22" t="s">
        <v>1</v>
      </c>
      <c r="J791" s="23" t="s">
        <v>1</v>
      </c>
      <c r="K791" s="21" t="s">
        <v>1</v>
      </c>
      <c r="L791" s="22" t="s">
        <v>1</v>
      </c>
      <c r="M791" s="23" t="s">
        <v>1</v>
      </c>
    </row>
    <row r="792" spans="1:13" ht="12">
      <c r="A792" s="11">
        <v>1</v>
      </c>
      <c r="C792" s="12" t="s">
        <v>36</v>
      </c>
      <c r="E792" s="11">
        <v>1</v>
      </c>
      <c r="F792" s="13"/>
      <c r="G792" s="105">
        <v>0</v>
      </c>
      <c r="H792" s="1">
        <v>0</v>
      </c>
      <c r="I792" s="105">
        <v>0</v>
      </c>
      <c r="J792" s="1">
        <v>0</v>
      </c>
      <c r="K792" s="110"/>
      <c r="L792" s="105">
        <v>0</v>
      </c>
      <c r="M792" s="1">
        <v>0</v>
      </c>
    </row>
    <row r="793" spans="1:13" ht="12">
      <c r="A793" s="11">
        <v>2</v>
      </c>
      <c r="C793" s="12" t="s">
        <v>37</v>
      </c>
      <c r="E793" s="11">
        <v>2</v>
      </c>
      <c r="F793" s="13"/>
      <c r="G793" s="105"/>
      <c r="H793" s="1">
        <v>0</v>
      </c>
      <c r="I793" s="105"/>
      <c r="J793" s="1">
        <v>0</v>
      </c>
      <c r="K793" s="110"/>
      <c r="L793" s="105"/>
      <c r="M793" s="1">
        <v>0</v>
      </c>
    </row>
    <row r="794" spans="1:13" ht="12">
      <c r="A794" s="11">
        <v>3</v>
      </c>
      <c r="E794" s="11">
        <v>3</v>
      </c>
      <c r="F794" s="13"/>
      <c r="G794" s="105"/>
      <c r="H794" s="1"/>
      <c r="I794" s="105"/>
      <c r="J794" s="1"/>
      <c r="K794" s="110"/>
      <c r="L794" s="105"/>
      <c r="M794" s="1"/>
    </row>
    <row r="795" spans="1:13" ht="12">
      <c r="A795" s="11">
        <v>4</v>
      </c>
      <c r="C795" s="12" t="s">
        <v>23</v>
      </c>
      <c r="E795" s="11">
        <v>4</v>
      </c>
      <c r="F795" s="13"/>
      <c r="G795" s="105">
        <v>0</v>
      </c>
      <c r="H795" s="1">
        <f>SUM(H792:H794)</f>
        <v>0</v>
      </c>
      <c r="I795" s="105">
        <v>0</v>
      </c>
      <c r="J795" s="1">
        <f>SUM(J792:J794)</f>
        <v>0</v>
      </c>
      <c r="K795" s="30"/>
      <c r="L795" s="105">
        <v>0</v>
      </c>
      <c r="M795" s="1">
        <f>SUM(M792:M794)</f>
        <v>0</v>
      </c>
    </row>
    <row r="796" spans="1:13" ht="12">
      <c r="A796" s="11">
        <v>5</v>
      </c>
      <c r="E796" s="11">
        <v>5</v>
      </c>
      <c r="F796" s="13"/>
      <c r="G796" s="105"/>
      <c r="H796" s="1"/>
      <c r="I796" s="105"/>
      <c r="J796" s="1"/>
      <c r="K796" s="30"/>
      <c r="L796" s="105"/>
      <c r="M796" s="1"/>
    </row>
    <row r="797" spans="1:13" ht="12">
      <c r="A797" s="11">
        <v>6</v>
      </c>
      <c r="E797" s="11">
        <v>6</v>
      </c>
      <c r="F797" s="13"/>
      <c r="G797" s="105"/>
      <c r="H797" s="1"/>
      <c r="I797" s="105"/>
      <c r="J797" s="1"/>
      <c r="K797" s="30"/>
      <c r="L797" s="105"/>
      <c r="M797" s="1"/>
    </row>
    <row r="798" spans="1:13" ht="12">
      <c r="A798" s="11">
        <v>7</v>
      </c>
      <c r="C798" s="12" t="s">
        <v>25</v>
      </c>
      <c r="E798" s="11">
        <v>7</v>
      </c>
      <c r="F798" s="13"/>
      <c r="G798" s="105">
        <v>0</v>
      </c>
      <c r="H798" s="1">
        <v>0</v>
      </c>
      <c r="I798" s="105">
        <v>0</v>
      </c>
      <c r="J798" s="1">
        <v>0</v>
      </c>
      <c r="K798" s="110"/>
      <c r="L798" s="105">
        <v>0</v>
      </c>
      <c r="M798" s="1">
        <v>0</v>
      </c>
    </row>
    <row r="799" spans="1:13" ht="12">
      <c r="A799" s="11">
        <v>8</v>
      </c>
      <c r="C799" s="12" t="s">
        <v>26</v>
      </c>
      <c r="E799" s="11">
        <v>8</v>
      </c>
      <c r="F799" s="13"/>
      <c r="G799" s="105"/>
      <c r="H799" s="1">
        <v>0</v>
      </c>
      <c r="I799" s="105"/>
      <c r="J799" s="1">
        <v>0</v>
      </c>
      <c r="K799" s="110"/>
      <c r="L799" s="105"/>
      <c r="M799" s="1">
        <v>0</v>
      </c>
    </row>
    <row r="800" spans="1:13" ht="12">
      <c r="A800" s="11">
        <v>9</v>
      </c>
      <c r="C800" s="12" t="s">
        <v>27</v>
      </c>
      <c r="E800" s="11">
        <v>9</v>
      </c>
      <c r="F800" s="13"/>
      <c r="G800" s="105">
        <v>0</v>
      </c>
      <c r="H800" s="1">
        <f>SUM(H798:H799)</f>
        <v>0</v>
      </c>
      <c r="I800" s="105">
        <v>0</v>
      </c>
      <c r="J800" s="1">
        <f>SUM(J798:J799)</f>
        <v>0</v>
      </c>
      <c r="K800" s="30"/>
      <c r="L800" s="105">
        <v>0</v>
      </c>
      <c r="M800" s="1">
        <f>SUM(M798:M799)</f>
        <v>0</v>
      </c>
    </row>
    <row r="801" spans="1:13" ht="12">
      <c r="A801" s="11">
        <v>10</v>
      </c>
      <c r="E801" s="11">
        <v>10</v>
      </c>
      <c r="F801" s="13"/>
      <c r="G801" s="105"/>
      <c r="H801" s="1"/>
      <c r="I801" s="105"/>
      <c r="J801" s="1"/>
      <c r="K801" s="30"/>
      <c r="L801" s="105"/>
      <c r="M801" s="1"/>
    </row>
    <row r="802" spans="1:13" ht="12">
      <c r="A802" s="11">
        <v>11</v>
      </c>
      <c r="C802" s="12" t="s">
        <v>28</v>
      </c>
      <c r="E802" s="11">
        <v>11</v>
      </c>
      <c r="F802" s="13"/>
      <c r="G802" s="105">
        <v>0</v>
      </c>
      <c r="H802" s="1">
        <f>SUM(H800,H795)</f>
        <v>0</v>
      </c>
      <c r="I802" s="105">
        <v>0</v>
      </c>
      <c r="J802" s="1">
        <f>SUM(J800,J795)</f>
        <v>0</v>
      </c>
      <c r="K802" s="30"/>
      <c r="L802" s="105">
        <v>0</v>
      </c>
      <c r="M802" s="1">
        <f>SUM(M800,M795)</f>
        <v>0</v>
      </c>
    </row>
    <row r="803" spans="1:13" ht="12">
      <c r="A803" s="11">
        <v>12</v>
      </c>
      <c r="E803" s="11">
        <v>12</v>
      </c>
      <c r="F803" s="13"/>
      <c r="G803" s="105"/>
      <c r="H803" s="1"/>
      <c r="I803" s="105"/>
      <c r="J803" s="1"/>
      <c r="K803" s="30"/>
      <c r="L803" s="105"/>
      <c r="M803" s="1"/>
    </row>
    <row r="804" spans="1:13" ht="12">
      <c r="A804" s="11">
        <v>13</v>
      </c>
      <c r="C804" s="12" t="s">
        <v>38</v>
      </c>
      <c r="E804" s="11">
        <v>13</v>
      </c>
      <c r="F804" s="13"/>
      <c r="G804" s="105"/>
      <c r="H804" s="1">
        <v>0</v>
      </c>
      <c r="I804" s="105"/>
      <c r="J804" s="1">
        <v>0</v>
      </c>
      <c r="K804" s="110"/>
      <c r="L804" s="105"/>
      <c r="M804" s="1">
        <v>0</v>
      </c>
    </row>
    <row r="805" spans="1:13" ht="12">
      <c r="A805" s="11">
        <v>14</v>
      </c>
      <c r="E805" s="11">
        <v>14</v>
      </c>
      <c r="F805" s="13"/>
      <c r="G805" s="105"/>
      <c r="H805" s="1"/>
      <c r="I805" s="105"/>
      <c r="J805" s="1"/>
      <c r="K805" s="110"/>
      <c r="L805" s="105"/>
      <c r="M805" s="1"/>
    </row>
    <row r="806" spans="1:13" ht="12">
      <c r="A806" s="11">
        <v>15</v>
      </c>
      <c r="C806" s="12" t="s">
        <v>30</v>
      </c>
      <c r="E806" s="11">
        <v>15</v>
      </c>
      <c r="F806" s="13"/>
      <c r="G806" s="105"/>
      <c r="H806" s="1">
        <v>0</v>
      </c>
      <c r="I806" s="105"/>
      <c r="J806" s="1">
        <v>0</v>
      </c>
      <c r="K806" s="110"/>
      <c r="L806" s="105"/>
      <c r="M806" s="1">
        <v>0</v>
      </c>
    </row>
    <row r="807" spans="1:13" ht="12">
      <c r="A807" s="11">
        <v>16</v>
      </c>
      <c r="C807" s="12" t="s">
        <v>31</v>
      </c>
      <c r="E807" s="11">
        <v>16</v>
      </c>
      <c r="F807" s="13"/>
      <c r="G807" s="105"/>
      <c r="H807" s="1">
        <v>0</v>
      </c>
      <c r="I807" s="105"/>
      <c r="J807" s="1">
        <v>0</v>
      </c>
      <c r="K807" s="110"/>
      <c r="L807" s="105"/>
      <c r="M807" s="1">
        <v>0</v>
      </c>
    </row>
    <row r="808" spans="1:13" ht="12">
      <c r="A808" s="11">
        <v>17</v>
      </c>
      <c r="C808" s="12" t="s">
        <v>32</v>
      </c>
      <c r="E808" s="11">
        <v>17</v>
      </c>
      <c r="F808" s="13"/>
      <c r="G808" s="105"/>
      <c r="H808" s="1">
        <v>0</v>
      </c>
      <c r="I808" s="105"/>
      <c r="J808" s="1">
        <v>0</v>
      </c>
      <c r="K808" s="110"/>
      <c r="L808" s="105"/>
      <c r="M808" s="1">
        <v>0</v>
      </c>
    </row>
    <row r="809" spans="1:13" ht="12">
      <c r="A809" s="11">
        <v>18</v>
      </c>
      <c r="C809" s="12"/>
      <c r="E809" s="11">
        <v>18</v>
      </c>
      <c r="F809" s="13"/>
      <c r="G809" s="105"/>
      <c r="H809" s="1"/>
      <c r="I809" s="105"/>
      <c r="J809" s="1"/>
      <c r="K809" s="110"/>
      <c r="L809" s="105"/>
      <c r="M809" s="1"/>
    </row>
    <row r="810" spans="1:13" ht="12">
      <c r="A810" s="11">
        <v>19</v>
      </c>
      <c r="C810" s="12"/>
      <c r="E810" s="11">
        <v>19</v>
      </c>
      <c r="F810" s="13"/>
      <c r="G810" s="105"/>
      <c r="H810" s="1"/>
      <c r="I810" s="105"/>
      <c r="J810" s="1"/>
      <c r="K810" s="110"/>
      <c r="L810" s="105"/>
      <c r="M810" s="1"/>
    </row>
    <row r="811" spans="1:13" ht="12">
      <c r="A811" s="11">
        <v>20</v>
      </c>
      <c r="C811" s="12"/>
      <c r="E811" s="11">
        <v>20</v>
      </c>
      <c r="F811" s="13"/>
      <c r="G811" s="105"/>
      <c r="H811" s="1"/>
      <c r="I811" s="105"/>
      <c r="J811" s="1"/>
      <c r="K811" s="110"/>
      <c r="L811" s="105"/>
      <c r="M811" s="1"/>
    </row>
    <row r="812" spans="1:13" ht="12">
      <c r="A812" s="11">
        <v>21</v>
      </c>
      <c r="C812" s="12"/>
      <c r="E812" s="11">
        <v>21</v>
      </c>
      <c r="F812" s="13"/>
      <c r="G812" s="105"/>
      <c r="H812" s="1"/>
      <c r="I812" s="105"/>
      <c r="J812" s="1"/>
      <c r="K812" s="110"/>
      <c r="L812" s="105"/>
      <c r="M812" s="1"/>
    </row>
    <row r="813" spans="1:13" ht="12">
      <c r="A813" s="11">
        <v>22</v>
      </c>
      <c r="C813" s="12"/>
      <c r="E813" s="11">
        <v>22</v>
      </c>
      <c r="F813" s="13"/>
      <c r="G813" s="105"/>
      <c r="H813" s="1"/>
      <c r="I813" s="105"/>
      <c r="J813" s="1"/>
      <c r="K813" s="110"/>
      <c r="L813" s="105"/>
      <c r="M813" s="1"/>
    </row>
    <row r="814" spans="1:13" ht="12">
      <c r="A814" s="11">
        <v>23</v>
      </c>
      <c r="C814" s="12"/>
      <c r="E814" s="11">
        <v>23</v>
      </c>
      <c r="F814" s="13"/>
      <c r="G814" s="105"/>
      <c r="H814" s="1"/>
      <c r="I814" s="105"/>
      <c r="J814" s="1"/>
      <c r="K814" s="110"/>
      <c r="L814" s="105"/>
      <c r="M814" s="1"/>
    </row>
    <row r="815" spans="1:13" ht="12">
      <c r="A815" s="11">
        <v>24</v>
      </c>
      <c r="C815" s="12"/>
      <c r="E815" s="11">
        <v>24</v>
      </c>
      <c r="F815" s="13"/>
      <c r="G815" s="71"/>
      <c r="H815" s="98"/>
      <c r="I815" s="71"/>
      <c r="J815" s="98"/>
      <c r="K815" s="13"/>
      <c r="L815" s="71"/>
      <c r="M815" s="98"/>
    </row>
    <row r="816" spans="1:13" ht="12">
      <c r="A816" s="21" t="s">
        <v>1</v>
      </c>
      <c r="B816" s="21" t="s">
        <v>1</v>
      </c>
      <c r="C816" s="21" t="s">
        <v>1</v>
      </c>
      <c r="D816" s="21" t="s">
        <v>1</v>
      </c>
      <c r="E816" s="21" t="s">
        <v>1</v>
      </c>
      <c r="F816" s="21" t="s">
        <v>1</v>
      </c>
      <c r="G816" s="21"/>
      <c r="H816" s="21"/>
      <c r="I816" s="22" t="s">
        <v>1</v>
      </c>
      <c r="J816" s="23" t="s">
        <v>1</v>
      </c>
      <c r="K816" s="21" t="s">
        <v>1</v>
      </c>
      <c r="L816" s="22" t="s">
        <v>1</v>
      </c>
      <c r="M816" s="23" t="s">
        <v>1</v>
      </c>
    </row>
    <row r="817" spans="1:13" ht="12">
      <c r="A817" s="11">
        <v>25</v>
      </c>
      <c r="C817" s="12" t="s">
        <v>241</v>
      </c>
      <c r="E817" s="11">
        <v>25</v>
      </c>
      <c r="G817" s="108">
        <f>SUM(G802:G815)</f>
        <v>0</v>
      </c>
      <c r="H817" s="100">
        <f>SUM(H802:H815)</f>
        <v>0</v>
      </c>
      <c r="I817" s="108">
        <f>SUM(I802:I815)</f>
        <v>0</v>
      </c>
      <c r="J817" s="100">
        <f>SUM(J802:J815)</f>
        <v>0</v>
      </c>
      <c r="K817" s="25"/>
      <c r="L817" s="108">
        <f>SUM(L802:L815)</f>
        <v>0</v>
      </c>
      <c r="M817" s="100">
        <f>SUM(M802:M815)</f>
        <v>0</v>
      </c>
    </row>
    <row r="818" spans="5:13" ht="12">
      <c r="E818" s="50"/>
      <c r="F818" s="90" t="s">
        <v>1</v>
      </c>
      <c r="G818" s="90"/>
      <c r="H818" s="90"/>
      <c r="I818" s="22"/>
      <c r="J818" s="23"/>
      <c r="K818" s="90"/>
      <c r="L818" s="22"/>
      <c r="M818" s="23"/>
    </row>
    <row r="820" spans="1:13" ht="12">
      <c r="A820" s="12"/>
      <c r="J820" s="55"/>
      <c r="M820" s="55"/>
    </row>
    <row r="821" spans="1:13" ht="12">
      <c r="A821" s="19" t="str">
        <f>$A$36</f>
        <v>Institution No.:  GFC</v>
      </c>
      <c r="B821" s="46"/>
      <c r="C821" s="46"/>
      <c r="D821" s="46"/>
      <c r="E821" s="51"/>
      <c r="F821" s="46"/>
      <c r="G821" s="46"/>
      <c r="H821" s="46"/>
      <c r="I821" s="52"/>
      <c r="J821" s="53"/>
      <c r="K821" s="46"/>
      <c r="L821" s="52"/>
      <c r="M821" s="18" t="s">
        <v>56</v>
      </c>
    </row>
    <row r="822" spans="1:13" s="46" customFormat="1" ht="12">
      <c r="A822" s="275" t="s">
        <v>57</v>
      </c>
      <c r="B822" s="275"/>
      <c r="C822" s="275"/>
      <c r="D822" s="275"/>
      <c r="E822" s="275"/>
      <c r="F822" s="275"/>
      <c r="G822" s="275"/>
      <c r="H822" s="275"/>
      <c r="I822" s="275"/>
      <c r="J822" s="275"/>
      <c r="K822" s="275"/>
      <c r="L822" s="275"/>
      <c r="M822" s="275"/>
    </row>
    <row r="823" spans="1:13" s="46" customFormat="1" ht="12">
      <c r="A823" s="19" t="s">
        <v>664</v>
      </c>
      <c r="B823" s="7"/>
      <c r="C823" s="7" t="s">
        <v>540</v>
      </c>
      <c r="D823" s="7"/>
      <c r="E823" s="7"/>
      <c r="F823" s="7"/>
      <c r="G823" s="7"/>
      <c r="H823" s="7"/>
      <c r="I823" s="8"/>
      <c r="J823" s="127"/>
      <c r="K823" s="7"/>
      <c r="L823" s="17"/>
      <c r="M823" s="20" t="str">
        <f>$M$3</f>
        <v>Date: 10/1/2008</v>
      </c>
    </row>
    <row r="824" spans="1:13" ht="12">
      <c r="A824" s="21" t="s">
        <v>1</v>
      </c>
      <c r="B824" s="21" t="s">
        <v>1</v>
      </c>
      <c r="C824" s="21" t="s">
        <v>1</v>
      </c>
      <c r="D824" s="21" t="s">
        <v>1</v>
      </c>
      <c r="E824" s="21" t="s">
        <v>1</v>
      </c>
      <c r="F824" s="21" t="s">
        <v>1</v>
      </c>
      <c r="G824" s="21"/>
      <c r="H824" s="21"/>
      <c r="I824" s="22" t="s">
        <v>1</v>
      </c>
      <c r="J824" s="23" t="s">
        <v>1</v>
      </c>
      <c r="K824" s="21" t="s">
        <v>1</v>
      </c>
      <c r="L824" s="22" t="s">
        <v>1</v>
      </c>
      <c r="M824" s="23" t="s">
        <v>1</v>
      </c>
    </row>
    <row r="825" spans="1:13" ht="12">
      <c r="A825" s="24" t="s">
        <v>2</v>
      </c>
      <c r="E825" s="24" t="s">
        <v>2</v>
      </c>
      <c r="F825" s="25"/>
      <c r="G825" s="26"/>
      <c r="H825" s="25" t="s">
        <v>249</v>
      </c>
      <c r="I825" s="26"/>
      <c r="J825" s="27" t="s">
        <v>251</v>
      </c>
      <c r="K825" s="25"/>
      <c r="L825" s="26"/>
      <c r="M825" s="27" t="s">
        <v>260</v>
      </c>
    </row>
    <row r="826" spans="1:13" ht="12">
      <c r="A826" s="24" t="s">
        <v>4</v>
      </c>
      <c r="C826" s="28" t="s">
        <v>20</v>
      </c>
      <c r="E826" s="24" t="s">
        <v>4</v>
      </c>
      <c r="F826" s="25"/>
      <c r="G826" s="25"/>
      <c r="H826" s="27" t="s">
        <v>7</v>
      </c>
      <c r="I826" s="26"/>
      <c r="J826" s="27" t="s">
        <v>7</v>
      </c>
      <c r="K826" s="25"/>
      <c r="L826" s="26"/>
      <c r="M826" s="27" t="s">
        <v>8</v>
      </c>
    </row>
    <row r="827" spans="1:13" ht="12">
      <c r="A827" s="21" t="s">
        <v>1</v>
      </c>
      <c r="B827" s="21" t="s">
        <v>1</v>
      </c>
      <c r="C827" s="21" t="s">
        <v>1</v>
      </c>
      <c r="D827" s="21" t="s">
        <v>1</v>
      </c>
      <c r="E827" s="21" t="s">
        <v>1</v>
      </c>
      <c r="F827" s="21" t="s">
        <v>1</v>
      </c>
      <c r="G827" s="21"/>
      <c r="H827" s="21"/>
      <c r="I827" s="22" t="s">
        <v>1</v>
      </c>
      <c r="J827" s="23" t="s">
        <v>1</v>
      </c>
      <c r="K827" s="21" t="s">
        <v>1</v>
      </c>
      <c r="L827" s="22" t="s">
        <v>1</v>
      </c>
      <c r="M827" s="23" t="s">
        <v>1</v>
      </c>
    </row>
    <row r="828" spans="1:13" ht="12">
      <c r="A828" s="93">
        <v>1</v>
      </c>
      <c r="C828" s="7" t="s">
        <v>58</v>
      </c>
      <c r="E828" s="93">
        <v>1</v>
      </c>
      <c r="F828" s="13"/>
      <c r="G828" s="13"/>
      <c r="H828" s="1"/>
      <c r="I828" s="1"/>
      <c r="J828" s="1"/>
      <c r="K828" s="1"/>
      <c r="L828" s="1"/>
      <c r="M828" s="1"/>
    </row>
    <row r="829" spans="1:13" ht="12">
      <c r="A829" s="93">
        <v>2</v>
      </c>
      <c r="C829" s="7" t="s">
        <v>573</v>
      </c>
      <c r="E829" s="93">
        <v>2</v>
      </c>
      <c r="F829" s="13"/>
      <c r="G829" s="13"/>
      <c r="H829" s="1">
        <v>177405</v>
      </c>
      <c r="I829" s="1"/>
      <c r="J829" s="1">
        <v>172226</v>
      </c>
      <c r="K829" s="1"/>
      <c r="L829" s="1"/>
      <c r="M829" s="1">
        <v>184145</v>
      </c>
    </row>
    <row r="830" spans="1:13" ht="12">
      <c r="A830" s="93">
        <v>3</v>
      </c>
      <c r="C830" s="13" t="s">
        <v>574</v>
      </c>
      <c r="E830" s="93">
        <v>3</v>
      </c>
      <c r="F830" s="13"/>
      <c r="G830" s="13"/>
      <c r="H830" s="1">
        <v>400690</v>
      </c>
      <c r="I830" s="1"/>
      <c r="J830" s="1">
        <v>406287</v>
      </c>
      <c r="K830" s="1"/>
      <c r="L830" s="1"/>
      <c r="M830" s="1">
        <v>424413</v>
      </c>
    </row>
    <row r="831" spans="1:13" ht="12">
      <c r="A831" s="93">
        <v>4</v>
      </c>
      <c r="C831" s="13" t="s">
        <v>563</v>
      </c>
      <c r="E831" s="93">
        <v>4</v>
      </c>
      <c r="F831" s="13"/>
      <c r="G831" s="13"/>
      <c r="H831" s="1">
        <v>34532</v>
      </c>
      <c r="I831" s="1"/>
      <c r="J831" s="1">
        <v>23796</v>
      </c>
      <c r="K831" s="1"/>
      <c r="L831" s="1"/>
      <c r="M831" s="1">
        <v>0</v>
      </c>
    </row>
    <row r="832" spans="1:13" ht="12">
      <c r="A832" s="93">
        <v>5</v>
      </c>
      <c r="C832" s="12" t="s">
        <v>575</v>
      </c>
      <c r="E832" s="93">
        <v>5</v>
      </c>
      <c r="F832" s="13"/>
      <c r="G832" s="13"/>
      <c r="H832" s="1">
        <v>54022</v>
      </c>
      <c r="I832" s="1"/>
      <c r="J832" s="1">
        <f>82017+10252+4101+6151</f>
        <v>102521</v>
      </c>
      <c r="K832" s="1"/>
      <c r="L832" s="1"/>
      <c r="M832" s="1">
        <v>0</v>
      </c>
    </row>
    <row r="833" spans="1:13" ht="12">
      <c r="A833" s="93">
        <v>6</v>
      </c>
      <c r="C833" s="13"/>
      <c r="E833" s="93">
        <v>6</v>
      </c>
      <c r="F833" s="13"/>
      <c r="G833" s="13"/>
      <c r="H833" s="1">
        <v>0</v>
      </c>
      <c r="I833" s="1"/>
      <c r="J833" s="1">
        <v>0</v>
      </c>
      <c r="K833" s="1"/>
      <c r="L833" s="1"/>
      <c r="M833" s="1">
        <v>0</v>
      </c>
    </row>
    <row r="834" spans="1:13" ht="12">
      <c r="A834" s="93">
        <v>7</v>
      </c>
      <c r="C834" s="13"/>
      <c r="E834" s="93">
        <v>7</v>
      </c>
      <c r="F834" s="13"/>
      <c r="G834" s="13"/>
      <c r="H834" s="1">
        <v>0</v>
      </c>
      <c r="I834" s="1"/>
      <c r="J834" s="1">
        <v>0</v>
      </c>
      <c r="K834" s="1"/>
      <c r="L834" s="1"/>
      <c r="M834" s="1">
        <v>0</v>
      </c>
    </row>
    <row r="835" spans="1:13" ht="12">
      <c r="A835" s="93">
        <v>8</v>
      </c>
      <c r="E835" s="93">
        <v>8</v>
      </c>
      <c r="F835" s="13"/>
      <c r="G835" s="13"/>
      <c r="H835" s="1">
        <v>0</v>
      </c>
      <c r="I835" s="1"/>
      <c r="J835" s="1">
        <v>0</v>
      </c>
      <c r="K835" s="1"/>
      <c r="L835" s="1"/>
      <c r="M835" s="1">
        <v>0</v>
      </c>
    </row>
    <row r="836" spans="1:13" ht="12">
      <c r="A836" s="93">
        <v>9</v>
      </c>
      <c r="E836" s="93">
        <v>9</v>
      </c>
      <c r="F836" s="13"/>
      <c r="G836" s="13"/>
      <c r="H836" s="1">
        <v>0</v>
      </c>
      <c r="I836" s="1"/>
      <c r="J836" s="1">
        <v>0</v>
      </c>
      <c r="K836" s="1"/>
      <c r="L836" s="1"/>
      <c r="M836" s="1">
        <v>0</v>
      </c>
    </row>
    <row r="837" spans="1:13" ht="12">
      <c r="A837" s="96"/>
      <c r="E837" s="96"/>
      <c r="F837" s="90" t="s">
        <v>1</v>
      </c>
      <c r="G837" s="90"/>
      <c r="H837" s="116"/>
      <c r="I837" s="116" t="s">
        <v>1</v>
      </c>
      <c r="J837" s="116"/>
      <c r="K837" s="116"/>
      <c r="L837" s="116"/>
      <c r="M837" s="116"/>
    </row>
    <row r="838" spans="1:13" ht="12">
      <c r="A838" s="93">
        <v>10</v>
      </c>
      <c r="C838" s="7" t="s">
        <v>87</v>
      </c>
      <c r="E838" s="93">
        <v>10</v>
      </c>
      <c r="H838" s="100">
        <f>SUM(H828:H836)</f>
        <v>666649</v>
      </c>
      <c r="I838" s="101"/>
      <c r="J838" s="1">
        <f>SUM(J828:J836)</f>
        <v>704830</v>
      </c>
      <c r="K838" s="100"/>
      <c r="L838" s="101"/>
      <c r="M838" s="1">
        <f>SUM(M828:M836)</f>
        <v>608558</v>
      </c>
    </row>
    <row r="839" spans="1:13" ht="12">
      <c r="A839" s="93"/>
      <c r="E839" s="93"/>
      <c r="F839" s="90" t="s">
        <v>1</v>
      </c>
      <c r="G839" s="90"/>
      <c r="H839" s="116"/>
      <c r="I839" s="116" t="s">
        <v>1</v>
      </c>
      <c r="J839" s="116"/>
      <c r="K839" s="116"/>
      <c r="L839" s="116"/>
      <c r="M839" s="116"/>
    </row>
    <row r="840" spans="1:13" ht="12">
      <c r="A840" s="93">
        <v>11</v>
      </c>
      <c r="C840" s="13"/>
      <c r="E840" s="93">
        <v>11</v>
      </c>
      <c r="F840" s="13"/>
      <c r="G840" s="13"/>
      <c r="H840" s="1"/>
      <c r="I840" s="1"/>
      <c r="J840" s="1"/>
      <c r="K840" s="1"/>
      <c r="L840" s="1"/>
      <c r="M840" s="1"/>
    </row>
    <row r="841" spans="1:13" ht="12">
      <c r="A841" s="93">
        <v>12</v>
      </c>
      <c r="C841" s="12" t="s">
        <v>158</v>
      </c>
      <c r="E841" s="93">
        <v>12</v>
      </c>
      <c r="F841" s="13"/>
      <c r="G841" s="13"/>
      <c r="H841" s="1"/>
      <c r="I841" s="1"/>
      <c r="J841" s="1"/>
      <c r="K841" s="1"/>
      <c r="L841" s="1"/>
      <c r="M841" s="1">
        <v>0</v>
      </c>
    </row>
    <row r="842" spans="1:13" ht="12">
      <c r="A842" s="93">
        <v>13</v>
      </c>
      <c r="C842" s="13" t="s">
        <v>576</v>
      </c>
      <c r="E842" s="93">
        <v>13</v>
      </c>
      <c r="F842" s="13"/>
      <c r="G842" s="13"/>
      <c r="H842" s="1">
        <v>867656</v>
      </c>
      <c r="I842" s="1"/>
      <c r="J842" s="1">
        <f>-2032304-95871</f>
        <v>-2128175</v>
      </c>
      <c r="K842" s="1"/>
      <c r="L842" s="1"/>
      <c r="M842" s="1">
        <f>377286+822714</f>
        <v>1200000</v>
      </c>
    </row>
    <row r="843" spans="1:13" ht="12">
      <c r="A843" s="93">
        <v>14</v>
      </c>
      <c r="C843" s="7" t="s">
        <v>577</v>
      </c>
      <c r="E843" s="93">
        <v>14</v>
      </c>
      <c r="F843" s="13"/>
      <c r="G843" s="13"/>
      <c r="H843" s="1">
        <v>1267724</v>
      </c>
      <c r="I843" s="1"/>
      <c r="J843" s="1">
        <v>1623426</v>
      </c>
      <c r="K843" s="1"/>
      <c r="L843" s="1"/>
      <c r="M843" s="1">
        <v>0</v>
      </c>
    </row>
    <row r="844" spans="1:13" ht="12">
      <c r="A844" s="93">
        <v>15</v>
      </c>
      <c r="C844" s="7" t="s">
        <v>573</v>
      </c>
      <c r="E844" s="93">
        <v>15</v>
      </c>
      <c r="F844" s="13"/>
      <c r="G844" s="13"/>
      <c r="H844" s="1">
        <v>129454</v>
      </c>
      <c r="I844" s="1"/>
      <c r="J844" s="1">
        <v>95871</v>
      </c>
      <c r="K844" s="1"/>
      <c r="L844" s="1"/>
      <c r="M844" s="1">
        <v>129454</v>
      </c>
    </row>
    <row r="845" spans="1:13" ht="12">
      <c r="A845" s="93">
        <v>16</v>
      </c>
      <c r="C845" s="7" t="s">
        <v>578</v>
      </c>
      <c r="E845" s="93">
        <v>16</v>
      </c>
      <c r="F845" s="13"/>
      <c r="G845" s="13"/>
      <c r="H845" s="1"/>
      <c r="I845" s="1"/>
      <c r="J845" s="1">
        <v>0</v>
      </c>
      <c r="K845" s="1"/>
      <c r="L845" s="1"/>
      <c r="M845" s="1">
        <v>0</v>
      </c>
    </row>
    <row r="846" spans="1:13" ht="12">
      <c r="A846" s="93">
        <v>17</v>
      </c>
      <c r="C846" s="94"/>
      <c r="D846" s="95"/>
      <c r="E846" s="93">
        <v>17</v>
      </c>
      <c r="F846" s="13"/>
      <c r="G846" s="13"/>
      <c r="H846" s="1"/>
      <c r="I846" s="1"/>
      <c r="J846" s="1">
        <v>0</v>
      </c>
      <c r="K846" s="1"/>
      <c r="L846" s="1"/>
      <c r="M846" s="1">
        <v>0</v>
      </c>
    </row>
    <row r="847" spans="1:13" ht="12">
      <c r="A847" s="93">
        <v>18</v>
      </c>
      <c r="C847" s="95"/>
      <c r="D847" s="95"/>
      <c r="E847" s="93">
        <v>18</v>
      </c>
      <c r="F847" s="13"/>
      <c r="G847" s="13"/>
      <c r="H847" s="1">
        <v>0</v>
      </c>
      <c r="I847" s="1"/>
      <c r="J847" s="1">
        <v>0</v>
      </c>
      <c r="K847" s="1"/>
      <c r="L847" s="1"/>
      <c r="M847" s="1">
        <v>0</v>
      </c>
    </row>
    <row r="848" spans="1:13" ht="12">
      <c r="A848" s="93"/>
      <c r="C848" s="128"/>
      <c r="D848" s="95"/>
      <c r="E848" s="93"/>
      <c r="F848" s="90" t="s">
        <v>1</v>
      </c>
      <c r="G848" s="90"/>
      <c r="H848" s="90"/>
      <c r="I848" s="22" t="s">
        <v>1</v>
      </c>
      <c r="J848" s="23"/>
      <c r="K848" s="90"/>
      <c r="L848" s="22"/>
      <c r="M848" s="23"/>
    </row>
    <row r="849" spans="1:13" ht="12">
      <c r="A849" s="93">
        <v>19</v>
      </c>
      <c r="C849" s="7" t="s">
        <v>159</v>
      </c>
      <c r="D849" s="95"/>
      <c r="E849" s="93">
        <v>19</v>
      </c>
      <c r="H849" s="100">
        <f>SUM(H840:H847)</f>
        <v>2264834</v>
      </c>
      <c r="I849" s="100"/>
      <c r="J849" s="100">
        <f>SUM(J840:J847)</f>
        <v>-408878</v>
      </c>
      <c r="K849" s="1"/>
      <c r="L849" s="1"/>
      <c r="M849" s="100">
        <f>SUM(M840:M847)</f>
        <v>1329454</v>
      </c>
    </row>
    <row r="850" spans="1:13" ht="12">
      <c r="A850" s="93"/>
      <c r="C850" s="128"/>
      <c r="D850" s="95"/>
      <c r="E850" s="93"/>
      <c r="F850" s="90" t="s">
        <v>1</v>
      </c>
      <c r="G850" s="90"/>
      <c r="H850" s="90"/>
      <c r="I850" s="22" t="s">
        <v>1</v>
      </c>
      <c r="J850" s="23"/>
      <c r="K850" s="90"/>
      <c r="L850" s="22"/>
      <c r="M850" s="23"/>
    </row>
    <row r="851" spans="1:10" ht="12">
      <c r="A851" s="93"/>
      <c r="C851" s="95"/>
      <c r="D851" s="95"/>
      <c r="E851" s="93"/>
      <c r="J851" s="15"/>
    </row>
    <row r="852" spans="1:13" ht="12">
      <c r="A852" s="93">
        <v>20</v>
      </c>
      <c r="C852" s="12" t="s">
        <v>242</v>
      </c>
      <c r="E852" s="93">
        <v>20</v>
      </c>
      <c r="H852" s="100">
        <f>SUM(H838,H849)</f>
        <v>2931483</v>
      </c>
      <c r="I852" s="101"/>
      <c r="J852" s="100">
        <f>SUM(J838,J849)</f>
        <v>295952</v>
      </c>
      <c r="K852" s="100"/>
      <c r="L852" s="101"/>
      <c r="M852" s="100">
        <f>SUM(M838,M849)</f>
        <v>1938012</v>
      </c>
    </row>
    <row r="853" spans="3:13" ht="12">
      <c r="C853" s="33" t="s">
        <v>88</v>
      </c>
      <c r="E853" s="50"/>
      <c r="F853" s="90" t="s">
        <v>1</v>
      </c>
      <c r="G853" s="90"/>
      <c r="H853" s="90"/>
      <c r="I853" s="22" t="s">
        <v>1</v>
      </c>
      <c r="J853" s="23"/>
      <c r="K853" s="90"/>
      <c r="L853" s="22"/>
      <c r="M853" s="23"/>
    </row>
    <row r="854" ht="12">
      <c r="C854" s="12" t="s">
        <v>0</v>
      </c>
    </row>
    <row r="855" ht="12">
      <c r="D855" s="25"/>
    </row>
    <row r="856" spans="1:13" ht="12">
      <c r="A856" s="19" t="str">
        <f>$A$36</f>
        <v>Institution No.:  GFC</v>
      </c>
      <c r="B856" s="46"/>
      <c r="C856" s="46"/>
      <c r="D856" s="126"/>
      <c r="E856" s="46"/>
      <c r="F856" s="51"/>
      <c r="G856" s="51"/>
      <c r="H856" s="51"/>
      <c r="I856" s="52"/>
      <c r="J856" s="53"/>
      <c r="K856" s="46"/>
      <c r="L856" s="129"/>
      <c r="M856" s="91" t="s">
        <v>99</v>
      </c>
    </row>
    <row r="857" spans="1:13" s="46" customFormat="1" ht="12">
      <c r="A857" s="261" t="s">
        <v>157</v>
      </c>
      <c r="B857" s="261"/>
      <c r="C857" s="261"/>
      <c r="D857" s="261"/>
      <c r="E857" s="261"/>
      <c r="F857" s="261"/>
      <c r="G857" s="261"/>
      <c r="H857" s="261"/>
      <c r="I857" s="261"/>
      <c r="J857" s="261"/>
      <c r="K857" s="261"/>
      <c r="L857" s="261"/>
      <c r="M857" s="261"/>
    </row>
    <row r="858" spans="1:13" s="46" customFormat="1" ht="12.75" customHeight="1">
      <c r="A858" s="19" t="s">
        <v>664</v>
      </c>
      <c r="B858" s="7"/>
      <c r="C858" s="7" t="s">
        <v>540</v>
      </c>
      <c r="D858" s="269"/>
      <c r="E858" s="269"/>
      <c r="F858" s="269"/>
      <c r="G858" s="130"/>
      <c r="H858" s="130"/>
      <c r="I858" s="8"/>
      <c r="J858" s="9"/>
      <c r="K858" s="7"/>
      <c r="L858" s="8"/>
      <c r="M858" s="20" t="str">
        <f>$M$3</f>
        <v>Date: 10/1/2008</v>
      </c>
    </row>
    <row r="859" spans="1:13" ht="12">
      <c r="A859" s="21" t="s">
        <v>1</v>
      </c>
      <c r="B859" s="21" t="s">
        <v>1</v>
      </c>
      <c r="C859" s="21" t="s">
        <v>1</v>
      </c>
      <c r="D859" s="21" t="s">
        <v>1</v>
      </c>
      <c r="E859" s="21" t="s">
        <v>1</v>
      </c>
      <c r="F859" s="21" t="s">
        <v>1</v>
      </c>
      <c r="G859" s="21"/>
      <c r="H859" s="21"/>
      <c r="I859" s="22" t="s">
        <v>1</v>
      </c>
      <c r="J859" s="23" t="s">
        <v>1</v>
      </c>
      <c r="K859" s="21" t="s">
        <v>1</v>
      </c>
      <c r="L859" s="22" t="s">
        <v>1</v>
      </c>
      <c r="M859" s="23" t="s">
        <v>1</v>
      </c>
    </row>
    <row r="860" spans="1:13" ht="12">
      <c r="A860" s="24" t="s">
        <v>2</v>
      </c>
      <c r="D860" s="25"/>
      <c r="E860" s="24" t="s">
        <v>2</v>
      </c>
      <c r="F860" s="25"/>
      <c r="G860" s="273" t="s">
        <v>286</v>
      </c>
      <c r="H860" s="273"/>
      <c r="I860" s="273" t="s">
        <v>252</v>
      </c>
      <c r="J860" s="273"/>
      <c r="K860" s="25"/>
      <c r="L860" s="273" t="s">
        <v>269</v>
      </c>
      <c r="M860" s="273"/>
    </row>
    <row r="861" spans="1:13" ht="12">
      <c r="A861" s="24" t="s">
        <v>4</v>
      </c>
      <c r="C861" s="12" t="s">
        <v>100</v>
      </c>
      <c r="D861" s="25" t="s">
        <v>101</v>
      </c>
      <c r="E861" s="24" t="s">
        <v>4</v>
      </c>
      <c r="F861" s="25"/>
      <c r="G861" s="26" t="s">
        <v>92</v>
      </c>
      <c r="H861" s="27" t="s">
        <v>93</v>
      </c>
      <c r="I861" s="26" t="s">
        <v>92</v>
      </c>
      <c r="J861" s="27" t="s">
        <v>93</v>
      </c>
      <c r="K861" s="25"/>
      <c r="L861" s="26" t="s">
        <v>92</v>
      </c>
      <c r="M861" s="27" t="s">
        <v>93</v>
      </c>
    </row>
    <row r="862" spans="3:13" ht="12">
      <c r="C862" s="7" t="s">
        <v>102</v>
      </c>
      <c r="D862" s="25" t="s">
        <v>103</v>
      </c>
      <c r="E862" s="25"/>
      <c r="F862" s="25"/>
      <c r="G862" s="26" t="s">
        <v>94</v>
      </c>
      <c r="H862" s="27" t="s">
        <v>95</v>
      </c>
      <c r="I862" s="26" t="s">
        <v>94</v>
      </c>
      <c r="J862" s="27" t="s">
        <v>95</v>
      </c>
      <c r="K862" s="25"/>
      <c r="L862" s="26" t="s">
        <v>94</v>
      </c>
      <c r="M862" s="27" t="s">
        <v>95</v>
      </c>
    </row>
    <row r="863" spans="1:13" ht="12">
      <c r="A863" s="21" t="s">
        <v>1</v>
      </c>
      <c r="B863" s="21" t="s">
        <v>1</v>
      </c>
      <c r="C863" s="21" t="s">
        <v>1</v>
      </c>
      <c r="D863" s="21" t="s">
        <v>1</v>
      </c>
      <c r="E863" s="21" t="s">
        <v>1</v>
      </c>
      <c r="F863" s="112" t="s">
        <v>204</v>
      </c>
      <c r="I863" s="22" t="s">
        <v>1</v>
      </c>
      <c r="J863" s="23" t="s">
        <v>1</v>
      </c>
      <c r="K863" s="21" t="s">
        <v>1</v>
      </c>
      <c r="L863" s="22" t="s">
        <v>1</v>
      </c>
      <c r="M863" s="23" t="s">
        <v>1</v>
      </c>
    </row>
    <row r="864" spans="1:13" ht="12">
      <c r="A864" s="21"/>
      <c r="B864" s="21"/>
      <c r="D864" s="28"/>
      <c r="E864" s="21"/>
      <c r="I864" s="22"/>
      <c r="J864" s="23"/>
      <c r="K864" s="90"/>
      <c r="L864" s="22"/>
      <c r="M864" s="23"/>
    </row>
    <row r="865" spans="1:13" ht="12">
      <c r="A865" s="11">
        <v>1</v>
      </c>
      <c r="C865" s="131" t="s">
        <v>96</v>
      </c>
      <c r="D865" s="132"/>
      <c r="E865" s="11">
        <v>1</v>
      </c>
      <c r="F865" s="133"/>
      <c r="G865" s="102"/>
      <c r="H865" s="102"/>
      <c r="I865" s="102"/>
      <c r="J865" s="102"/>
      <c r="K865" s="102"/>
      <c r="L865" s="102"/>
      <c r="M865" s="102"/>
    </row>
    <row r="866" spans="1:13" ht="12">
      <c r="A866" s="11">
        <f aca="true" t="shared" si="16" ref="A866:A888">(A865+1)</f>
        <v>2</v>
      </c>
      <c r="C866" s="7" t="s">
        <v>579</v>
      </c>
      <c r="D866" s="132"/>
      <c r="E866" s="11">
        <f aca="true" t="shared" si="17" ref="E866:E888">(E865+1)</f>
        <v>2</v>
      </c>
      <c r="F866" s="133"/>
      <c r="G866" s="102">
        <v>4564623</v>
      </c>
      <c r="H866" s="102">
        <v>4564623</v>
      </c>
      <c r="I866" s="102">
        <v>224222</v>
      </c>
      <c r="J866" s="102">
        <v>224221</v>
      </c>
      <c r="K866" s="102"/>
      <c r="L866" s="102"/>
      <c r="M866" s="102">
        <v>0</v>
      </c>
    </row>
    <row r="867" spans="1:13" ht="12">
      <c r="A867" s="11">
        <f t="shared" si="16"/>
        <v>3</v>
      </c>
      <c r="C867" s="7" t="s">
        <v>580</v>
      </c>
      <c r="D867" s="132"/>
      <c r="E867" s="11">
        <f t="shared" si="17"/>
        <v>3</v>
      </c>
      <c r="F867" s="133"/>
      <c r="G867" s="102"/>
      <c r="H867" s="102"/>
      <c r="I867" s="102"/>
      <c r="J867" s="102"/>
      <c r="K867" s="102"/>
      <c r="L867" s="102"/>
      <c r="M867" s="102"/>
    </row>
    <row r="868" spans="1:13" ht="12">
      <c r="A868" s="11">
        <f t="shared" si="16"/>
        <v>4</v>
      </c>
      <c r="C868" s="7" t="s">
        <v>581</v>
      </c>
      <c r="E868" s="11">
        <f t="shared" si="17"/>
        <v>4</v>
      </c>
      <c r="F868" s="133"/>
      <c r="G868" s="102">
        <v>301360</v>
      </c>
      <c r="H868" s="102">
        <v>0</v>
      </c>
      <c r="I868" s="102"/>
      <c r="J868" s="102"/>
      <c r="K868" s="102"/>
      <c r="L868" s="102"/>
      <c r="M868" s="102"/>
    </row>
    <row r="869" spans="1:13" ht="12">
      <c r="A869" s="11">
        <f t="shared" si="16"/>
        <v>5</v>
      </c>
      <c r="C869" s="7" t="s">
        <v>582</v>
      </c>
      <c r="D869" s="134"/>
      <c r="E869" s="11">
        <f t="shared" si="17"/>
        <v>5</v>
      </c>
      <c r="F869" s="133"/>
      <c r="G869" s="102">
        <v>2000000</v>
      </c>
      <c r="H869" s="102">
        <v>43692133</v>
      </c>
      <c r="I869" s="102">
        <v>11000000</v>
      </c>
      <c r="J869" s="102">
        <v>0</v>
      </c>
      <c r="K869" s="102"/>
      <c r="L869" s="102">
        <v>7000000</v>
      </c>
      <c r="M869" s="102"/>
    </row>
    <row r="870" spans="1:13" ht="12">
      <c r="A870" s="11">
        <f t="shared" si="16"/>
        <v>6</v>
      </c>
      <c r="C870" s="7" t="s">
        <v>583</v>
      </c>
      <c r="D870" s="134"/>
      <c r="E870" s="11">
        <f t="shared" si="17"/>
        <v>6</v>
      </c>
      <c r="F870" s="133"/>
      <c r="G870" s="102"/>
      <c r="H870" s="102"/>
      <c r="I870" s="102">
        <v>1766059</v>
      </c>
      <c r="J870" s="102">
        <v>38584940</v>
      </c>
      <c r="K870" s="102"/>
      <c r="L870" s="102"/>
      <c r="M870" s="102"/>
    </row>
    <row r="871" spans="1:13" ht="12">
      <c r="A871" s="11">
        <f t="shared" si="16"/>
        <v>7</v>
      </c>
      <c r="D871" s="132"/>
      <c r="E871" s="11">
        <f t="shared" si="17"/>
        <v>7</v>
      </c>
      <c r="F871" s="133"/>
      <c r="G871" s="102"/>
      <c r="H871" s="102"/>
      <c r="I871" s="102"/>
      <c r="J871" s="102"/>
      <c r="K871" s="102"/>
      <c r="L871" s="102"/>
      <c r="M871" s="102"/>
    </row>
    <row r="872" spans="1:13" ht="12">
      <c r="A872" s="11">
        <f t="shared" si="16"/>
        <v>8</v>
      </c>
      <c r="D872" s="135"/>
      <c r="E872" s="11">
        <f t="shared" si="17"/>
        <v>8</v>
      </c>
      <c r="F872" s="133"/>
      <c r="G872" s="102"/>
      <c r="H872" s="102"/>
      <c r="I872" s="102"/>
      <c r="J872" s="102"/>
      <c r="K872" s="102"/>
      <c r="L872" s="102"/>
      <c r="M872" s="102"/>
    </row>
    <row r="873" spans="1:13" ht="12">
      <c r="A873" s="11">
        <f t="shared" si="16"/>
        <v>9</v>
      </c>
      <c r="D873" s="134"/>
      <c r="E873" s="11">
        <f t="shared" si="17"/>
        <v>9</v>
      </c>
      <c r="F873" s="133"/>
      <c r="G873" s="102"/>
      <c r="H873" s="102"/>
      <c r="I873" s="102"/>
      <c r="J873" s="102"/>
      <c r="K873" s="102"/>
      <c r="L873" s="102"/>
      <c r="M873" s="102"/>
    </row>
    <row r="874" spans="1:13" ht="12">
      <c r="A874" s="11">
        <f t="shared" si="16"/>
        <v>10</v>
      </c>
      <c r="D874" s="134"/>
      <c r="E874" s="11">
        <f t="shared" si="17"/>
        <v>10</v>
      </c>
      <c r="F874" s="133"/>
      <c r="G874" s="102"/>
      <c r="H874" s="102"/>
      <c r="I874" s="102"/>
      <c r="J874" s="102"/>
      <c r="K874" s="102"/>
      <c r="L874" s="102"/>
      <c r="M874" s="102"/>
    </row>
    <row r="875" spans="1:13" ht="12">
      <c r="A875" s="11">
        <f t="shared" si="16"/>
        <v>11</v>
      </c>
      <c r="D875" s="132"/>
      <c r="E875" s="11">
        <f t="shared" si="17"/>
        <v>11</v>
      </c>
      <c r="F875" s="133"/>
      <c r="G875" s="102"/>
      <c r="H875" s="102"/>
      <c r="I875" s="102"/>
      <c r="J875" s="102"/>
      <c r="K875" s="102"/>
      <c r="L875" s="102"/>
      <c r="M875" s="102"/>
    </row>
    <row r="876" spans="1:13" ht="12">
      <c r="A876" s="11">
        <f t="shared" si="16"/>
        <v>12</v>
      </c>
      <c r="C876" s="12"/>
      <c r="D876" s="135"/>
      <c r="E876" s="11">
        <f t="shared" si="17"/>
        <v>12</v>
      </c>
      <c r="F876" s="133"/>
      <c r="G876" s="102"/>
      <c r="H876" s="102"/>
      <c r="I876" s="102"/>
      <c r="J876" s="102"/>
      <c r="K876" s="102"/>
      <c r="L876" s="102"/>
      <c r="M876" s="102"/>
    </row>
    <row r="877" spans="1:13" ht="12">
      <c r="A877" s="11">
        <f t="shared" si="16"/>
        <v>13</v>
      </c>
      <c r="D877" s="135"/>
      <c r="E877" s="11">
        <f t="shared" si="17"/>
        <v>13</v>
      </c>
      <c r="F877" s="133"/>
      <c r="G877" s="102"/>
      <c r="H877" s="102"/>
      <c r="I877" s="102"/>
      <c r="J877" s="102"/>
      <c r="K877" s="102"/>
      <c r="L877" s="102"/>
      <c r="M877" s="102"/>
    </row>
    <row r="878" spans="1:13" ht="12">
      <c r="A878" s="11">
        <f t="shared" si="16"/>
        <v>14</v>
      </c>
      <c r="D878" s="132"/>
      <c r="E878" s="11">
        <f t="shared" si="17"/>
        <v>14</v>
      </c>
      <c r="F878" s="133"/>
      <c r="G878" s="102"/>
      <c r="H878" s="102"/>
      <c r="I878" s="98"/>
      <c r="J878" s="98"/>
      <c r="K878" s="102"/>
      <c r="L878" s="102"/>
      <c r="M878" s="102"/>
    </row>
    <row r="879" spans="1:13" ht="12">
      <c r="A879" s="11">
        <f t="shared" si="16"/>
        <v>15</v>
      </c>
      <c r="D879" s="135"/>
      <c r="E879" s="11">
        <f t="shared" si="17"/>
        <v>15</v>
      </c>
      <c r="F879" s="133"/>
      <c r="G879" s="102"/>
      <c r="H879" s="102"/>
      <c r="I879" s="98"/>
      <c r="J879" s="98"/>
      <c r="K879" s="102"/>
      <c r="L879" s="102"/>
      <c r="M879" s="102"/>
    </row>
    <row r="880" spans="1:13" ht="12">
      <c r="A880" s="11">
        <f t="shared" si="16"/>
        <v>16</v>
      </c>
      <c r="C880" s="13"/>
      <c r="D880" s="134"/>
      <c r="E880" s="11">
        <f t="shared" si="17"/>
        <v>16</v>
      </c>
      <c r="F880" s="133"/>
      <c r="G880" s="102"/>
      <c r="H880" s="102"/>
      <c r="I880" s="98"/>
      <c r="J880" s="98"/>
      <c r="K880" s="98"/>
      <c r="L880" s="98"/>
      <c r="M880" s="98"/>
    </row>
    <row r="881" spans="1:13" ht="12">
      <c r="A881" s="11">
        <f t="shared" si="16"/>
        <v>17</v>
      </c>
      <c r="C881" s="13" t="s">
        <v>97</v>
      </c>
      <c r="D881" s="134"/>
      <c r="E881" s="11">
        <f t="shared" si="17"/>
        <v>17</v>
      </c>
      <c r="F881" s="133"/>
      <c r="G881" s="102"/>
      <c r="H881" s="102"/>
      <c r="I881" s="98"/>
      <c r="J881" s="98"/>
      <c r="K881" s="98"/>
      <c r="L881" s="98"/>
      <c r="M881" s="98"/>
    </row>
    <row r="882" spans="1:13" ht="12">
      <c r="A882" s="11">
        <f t="shared" si="16"/>
        <v>18</v>
      </c>
      <c r="C882" s="7" t="s">
        <v>584</v>
      </c>
      <c r="D882" s="134"/>
      <c r="E882" s="11">
        <f t="shared" si="17"/>
        <v>18</v>
      </c>
      <c r="F882" s="133"/>
      <c r="G882" s="102">
        <v>215000</v>
      </c>
      <c r="H882" s="102">
        <v>0</v>
      </c>
      <c r="I882" s="98">
        <v>7735</v>
      </c>
      <c r="J882" s="98"/>
      <c r="K882" s="98"/>
      <c r="L882" s="98"/>
      <c r="M882" s="98"/>
    </row>
    <row r="883" spans="1:13" ht="12">
      <c r="A883" s="11">
        <f t="shared" si="16"/>
        <v>19</v>
      </c>
      <c r="C883" s="7" t="s">
        <v>585</v>
      </c>
      <c r="D883" s="134"/>
      <c r="E883" s="11">
        <f t="shared" si="17"/>
        <v>19</v>
      </c>
      <c r="F883" s="133"/>
      <c r="G883" s="102">
        <v>83975</v>
      </c>
      <c r="H883" s="102"/>
      <c r="I883" s="102">
        <v>327336</v>
      </c>
      <c r="J883" s="102"/>
      <c r="K883" s="102"/>
      <c r="L883" s="102"/>
      <c r="M883" s="102"/>
    </row>
    <row r="884" spans="1:13" ht="12">
      <c r="A884" s="11">
        <f t="shared" si="16"/>
        <v>20</v>
      </c>
      <c r="C884" s="7" t="s">
        <v>586</v>
      </c>
      <c r="D884" s="134"/>
      <c r="E884" s="11">
        <f t="shared" si="17"/>
        <v>20</v>
      </c>
      <c r="F884" s="133"/>
      <c r="G884" s="102">
        <v>292018</v>
      </c>
      <c r="H884" s="102">
        <v>0</v>
      </c>
      <c r="I884" s="98">
        <v>270128</v>
      </c>
      <c r="J884" s="98"/>
      <c r="K884" s="98"/>
      <c r="L884" s="102"/>
      <c r="M884" s="102"/>
    </row>
    <row r="885" spans="1:13" ht="12">
      <c r="A885" s="11">
        <f t="shared" si="16"/>
        <v>21</v>
      </c>
      <c r="C885" s="7" t="s">
        <v>587</v>
      </c>
      <c r="D885" s="134"/>
      <c r="E885" s="11">
        <f t="shared" si="17"/>
        <v>21</v>
      </c>
      <c r="G885" s="102"/>
      <c r="H885" s="102"/>
      <c r="I885" s="102">
        <v>273392</v>
      </c>
      <c r="J885" s="102"/>
      <c r="K885" s="102"/>
      <c r="L885" s="102"/>
      <c r="M885" s="102"/>
    </row>
    <row r="886" spans="1:13" ht="12">
      <c r="A886" s="11">
        <f t="shared" si="16"/>
        <v>22</v>
      </c>
      <c r="C886" s="13" t="s">
        <v>588</v>
      </c>
      <c r="D886" s="134"/>
      <c r="E886" s="11">
        <f t="shared" si="17"/>
        <v>22</v>
      </c>
      <c r="G886" s="102"/>
      <c r="H886" s="102"/>
      <c r="I886" s="102">
        <v>382161</v>
      </c>
      <c r="J886" s="102"/>
      <c r="K886" s="102"/>
      <c r="L886" s="102"/>
      <c r="M886" s="102"/>
    </row>
    <row r="887" spans="1:13" ht="12">
      <c r="A887" s="11">
        <f t="shared" si="16"/>
        <v>23</v>
      </c>
      <c r="C887" s="7" t="s">
        <v>589</v>
      </c>
      <c r="D887" s="134"/>
      <c r="E887" s="11">
        <f t="shared" si="17"/>
        <v>23</v>
      </c>
      <c r="F887" s="133"/>
      <c r="G887" s="102"/>
      <c r="H887" s="102"/>
      <c r="I887" s="102">
        <v>467995</v>
      </c>
      <c r="J887" s="102"/>
      <c r="K887" s="102"/>
      <c r="L887" s="102"/>
      <c r="M887" s="102"/>
    </row>
    <row r="888" spans="1:13" ht="12">
      <c r="A888" s="11">
        <f t="shared" si="16"/>
        <v>24</v>
      </c>
      <c r="C888" s="7" t="s">
        <v>590</v>
      </c>
      <c r="D888" s="134"/>
      <c r="E888" s="11">
        <f t="shared" si="17"/>
        <v>24</v>
      </c>
      <c r="F888" s="133"/>
      <c r="G888" s="102"/>
      <c r="H888" s="102"/>
      <c r="I888" s="102"/>
      <c r="J888" s="102"/>
      <c r="K888" s="98"/>
      <c r="L888" s="98">
        <v>431436</v>
      </c>
      <c r="M888" s="102"/>
    </row>
    <row r="889" spans="1:13" ht="12">
      <c r="A889" s="7">
        <v>25</v>
      </c>
      <c r="D889" s="134"/>
      <c r="E889" s="7">
        <v>25</v>
      </c>
      <c r="F889" s="133"/>
      <c r="G889" s="102"/>
      <c r="H889" s="102"/>
      <c r="I889" s="100"/>
      <c r="J889" s="100"/>
      <c r="K889" s="98"/>
      <c r="L889" s="102"/>
      <c r="M889" s="102"/>
    </row>
    <row r="890" spans="3:13" ht="12">
      <c r="C890" s="13"/>
      <c r="D890" s="134"/>
      <c r="I890" s="14"/>
      <c r="J890" s="15"/>
      <c r="K890" s="136"/>
      <c r="L890" s="14"/>
      <c r="M890" s="15"/>
    </row>
    <row r="891" spans="4:13" ht="12">
      <c r="D891" s="135"/>
      <c r="E891" s="137"/>
      <c r="F891" s="21" t="s">
        <v>1</v>
      </c>
      <c r="G891" s="21"/>
      <c r="H891" s="21"/>
      <c r="I891" s="22" t="s">
        <v>1</v>
      </c>
      <c r="J891" s="23" t="s">
        <v>1</v>
      </c>
      <c r="K891" s="138" t="s">
        <v>1</v>
      </c>
      <c r="L891" s="22" t="s">
        <v>1</v>
      </c>
      <c r="M891" s="23" t="s">
        <v>1</v>
      </c>
    </row>
    <row r="892" spans="1:13" ht="12" customHeight="1">
      <c r="A892" s="11">
        <v>26</v>
      </c>
      <c r="C892" s="12" t="s">
        <v>98</v>
      </c>
      <c r="D892" s="132"/>
      <c r="E892" s="11">
        <v>26</v>
      </c>
      <c r="G892" s="100">
        <f>SUM(G864:G890)</f>
        <v>7456976</v>
      </c>
      <c r="H892" s="100">
        <f>SUM(H864:H890)</f>
        <v>48256756</v>
      </c>
      <c r="I892" s="100">
        <f>SUM(I864:I890)</f>
        <v>14719028</v>
      </c>
      <c r="J892" s="100">
        <f>SUM(J864:J890)</f>
        <v>38809161</v>
      </c>
      <c r="K892" s="100"/>
      <c r="L892" s="100">
        <f>SUM(L864:L890)</f>
        <v>7431436</v>
      </c>
      <c r="M892" s="100">
        <f>SUM(M864:M890)</f>
        <v>0</v>
      </c>
    </row>
    <row r="893" spans="4:13" ht="12" customHeight="1">
      <c r="D893" s="135"/>
      <c r="E893" s="137"/>
      <c r="F893" s="21" t="s">
        <v>1</v>
      </c>
      <c r="G893" s="21"/>
      <c r="H893" s="21"/>
      <c r="I893" s="22" t="s">
        <v>1</v>
      </c>
      <c r="J893" s="23" t="s">
        <v>1</v>
      </c>
      <c r="K893" s="138" t="s">
        <v>1</v>
      </c>
      <c r="L893" s="22" t="s">
        <v>1</v>
      </c>
      <c r="M893" s="23" t="s">
        <v>1</v>
      </c>
    </row>
    <row r="894" spans="4:13" ht="12" customHeight="1">
      <c r="D894" s="135"/>
      <c r="E894" s="90"/>
      <c r="F894" s="50"/>
      <c r="G894" s="50"/>
      <c r="H894" s="50"/>
      <c r="I894" s="22"/>
      <c r="J894" s="23"/>
      <c r="K894" s="138"/>
      <c r="L894" s="22"/>
      <c r="M894" s="23"/>
    </row>
    <row r="895" spans="4:13" ht="12" customHeight="1">
      <c r="D895" s="135"/>
      <c r="E895" s="90"/>
      <c r="F895" s="50"/>
      <c r="G895" s="50"/>
      <c r="H895" s="50"/>
      <c r="I895" s="22"/>
      <c r="J895" s="23"/>
      <c r="K895" s="138"/>
      <c r="L895" s="22"/>
      <c r="M895" s="23"/>
    </row>
    <row r="896" spans="4:13" ht="12" customHeight="1">
      <c r="D896" s="135"/>
      <c r="E896" s="90"/>
      <c r="F896" s="50"/>
      <c r="G896" s="50"/>
      <c r="H896" s="50"/>
      <c r="I896" s="22"/>
      <c r="J896" s="23"/>
      <c r="K896" s="138"/>
      <c r="L896" s="22"/>
      <c r="M896" s="23"/>
    </row>
    <row r="897" spans="4:13" ht="12" customHeight="1">
      <c r="D897" s="135"/>
      <c r="E897" s="90"/>
      <c r="F897" s="50"/>
      <c r="G897" s="50"/>
      <c r="H897" s="50"/>
      <c r="I897" s="22"/>
      <c r="J897" s="23"/>
      <c r="K897" s="138"/>
      <c r="L897" s="22"/>
      <c r="M897" s="23"/>
    </row>
    <row r="898" spans="4:13" ht="12" customHeight="1">
      <c r="D898" s="135"/>
      <c r="E898" s="90"/>
      <c r="F898" s="50"/>
      <c r="G898" s="50"/>
      <c r="H898" s="50"/>
      <c r="I898" s="22"/>
      <c r="J898" s="23"/>
      <c r="K898" s="138"/>
      <c r="L898" s="22"/>
      <c r="M898" s="23"/>
    </row>
    <row r="899" spans="4:13" ht="12" customHeight="1">
      <c r="D899" s="135"/>
      <c r="E899" s="90"/>
      <c r="F899" s="50"/>
      <c r="G899" s="50"/>
      <c r="H899" s="50"/>
      <c r="I899" s="22"/>
      <c r="J899" s="23"/>
      <c r="K899" s="138"/>
      <c r="L899" s="22"/>
      <c r="M899" s="23"/>
    </row>
    <row r="900" spans="4:13" ht="12" customHeight="1">
      <c r="D900" s="135"/>
      <c r="E900" s="90"/>
      <c r="F900" s="50"/>
      <c r="G900" s="50"/>
      <c r="H900" s="50"/>
      <c r="I900" s="22"/>
      <c r="J900" s="23"/>
      <c r="K900" s="138"/>
      <c r="L900" s="22"/>
      <c r="M900" s="23"/>
    </row>
    <row r="901" spans="4:13" ht="12" customHeight="1">
      <c r="D901" s="135"/>
      <c r="E901" s="90"/>
      <c r="F901" s="50"/>
      <c r="G901" s="50"/>
      <c r="H901" s="50"/>
      <c r="I901" s="22"/>
      <c r="J901" s="23"/>
      <c r="K901" s="138"/>
      <c r="L901" s="22"/>
      <c r="M901" s="23"/>
    </row>
    <row r="902" spans="4:13" ht="12" customHeight="1">
      <c r="D902" s="135"/>
      <c r="E902" s="90"/>
      <c r="F902" s="50"/>
      <c r="G902" s="50"/>
      <c r="H902" s="50"/>
      <c r="I902" s="22"/>
      <c r="J902" s="23"/>
      <c r="K902" s="138"/>
      <c r="L902" s="22"/>
      <c r="M902" s="23"/>
    </row>
    <row r="903" spans="4:13" ht="12" customHeight="1">
      <c r="D903" s="135"/>
      <c r="E903" s="90"/>
      <c r="F903" s="50"/>
      <c r="G903" s="50"/>
      <c r="H903" s="50"/>
      <c r="I903" s="22"/>
      <c r="J903" s="23"/>
      <c r="K903" s="138"/>
      <c r="L903" s="22"/>
      <c r="M903" s="23"/>
    </row>
    <row r="904" spans="4:13" ht="12" customHeight="1">
      <c r="D904" s="135"/>
      <c r="E904" s="90"/>
      <c r="F904" s="50"/>
      <c r="G904" s="50"/>
      <c r="H904" s="50"/>
      <c r="I904" s="22"/>
      <c r="J904" s="23"/>
      <c r="K904" s="138"/>
      <c r="L904" s="22"/>
      <c r="M904" s="23"/>
    </row>
    <row r="905" spans="4:13" ht="12" customHeight="1">
      <c r="D905" s="135"/>
      <c r="E905" s="90"/>
      <c r="F905" s="50"/>
      <c r="G905" s="50"/>
      <c r="H905" s="50"/>
      <c r="I905" s="22"/>
      <c r="J905" s="23"/>
      <c r="K905" s="138"/>
      <c r="L905" s="22"/>
      <c r="M905" s="23"/>
    </row>
    <row r="906" spans="4:13" ht="12" customHeight="1">
      <c r="D906" s="135"/>
      <c r="E906" s="90"/>
      <c r="F906" s="50"/>
      <c r="G906" s="50"/>
      <c r="H906" s="50"/>
      <c r="I906" s="22"/>
      <c r="J906" s="23"/>
      <c r="K906" s="138"/>
      <c r="L906" s="22"/>
      <c r="M906" s="23"/>
    </row>
    <row r="907" spans="4:13" ht="12" customHeight="1">
      <c r="D907" s="135"/>
      <c r="E907" s="90"/>
      <c r="F907" s="50"/>
      <c r="G907" s="50"/>
      <c r="H907" s="50"/>
      <c r="I907" s="22"/>
      <c r="J907" s="23"/>
      <c r="K907" s="138"/>
      <c r="L907" s="22"/>
      <c r="M907" s="23"/>
    </row>
    <row r="908" spans="4:13" ht="12" customHeight="1">
      <c r="D908" s="135"/>
      <c r="E908" s="90"/>
      <c r="F908" s="50"/>
      <c r="G908" s="50"/>
      <c r="H908" s="50"/>
      <c r="I908" s="22"/>
      <c r="J908" s="23"/>
      <c r="K908" s="138"/>
      <c r="L908" s="22"/>
      <c r="M908" s="23"/>
    </row>
    <row r="909" spans="4:13" ht="12" customHeight="1">
      <c r="D909" s="135"/>
      <c r="E909" s="90"/>
      <c r="F909" s="50"/>
      <c r="G909" s="50"/>
      <c r="H909" s="50"/>
      <c r="I909" s="22"/>
      <c r="J909" s="23"/>
      <c r="K909" s="138"/>
      <c r="L909" s="22"/>
      <c r="M909" s="23"/>
    </row>
    <row r="910" spans="4:13" ht="12" customHeight="1">
      <c r="D910" s="135"/>
      <c r="E910" s="90"/>
      <c r="F910" s="50"/>
      <c r="G910" s="50"/>
      <c r="H910" s="50"/>
      <c r="I910" s="22"/>
      <c r="J910" s="23"/>
      <c r="K910" s="138"/>
      <c r="L910" s="22"/>
      <c r="M910" s="23"/>
    </row>
    <row r="911" spans="4:13" ht="12" customHeight="1">
      <c r="D911" s="135"/>
      <c r="E911" s="90"/>
      <c r="F911" s="50"/>
      <c r="G911" s="50"/>
      <c r="H911" s="50"/>
      <c r="I911" s="22"/>
      <c r="J911" s="23"/>
      <c r="K911" s="138"/>
      <c r="L911" s="22"/>
      <c r="M911" s="23"/>
    </row>
    <row r="912" spans="4:13" ht="12" customHeight="1">
      <c r="D912" s="135"/>
      <c r="E912" s="90"/>
      <c r="F912" s="50"/>
      <c r="G912" s="50"/>
      <c r="H912" s="50"/>
      <c r="I912" s="22"/>
      <c r="J912" s="23"/>
      <c r="K912" s="138"/>
      <c r="L912" s="22"/>
      <c r="M912" s="23"/>
    </row>
    <row r="913" spans="4:13" ht="12" customHeight="1">
      <c r="D913" s="135"/>
      <c r="E913" s="90"/>
      <c r="F913" s="50"/>
      <c r="G913" s="50"/>
      <c r="H913" s="50"/>
      <c r="I913" s="22"/>
      <c r="J913" s="23"/>
      <c r="K913" s="138"/>
      <c r="L913" s="22"/>
      <c r="M913" s="23"/>
    </row>
    <row r="914" spans="4:13" ht="12" customHeight="1">
      <c r="D914" s="135"/>
      <c r="E914" s="90"/>
      <c r="F914" s="50"/>
      <c r="G914" s="50"/>
      <c r="H914" s="50"/>
      <c r="I914" s="22"/>
      <c r="J914" s="23"/>
      <c r="K914" s="138"/>
      <c r="L914" s="22"/>
      <c r="M914" s="23"/>
    </row>
    <row r="915" spans="4:13" ht="12" customHeight="1">
      <c r="D915" s="135"/>
      <c r="E915" s="90"/>
      <c r="F915" s="50"/>
      <c r="G915" s="50"/>
      <c r="H915" s="50"/>
      <c r="I915" s="22"/>
      <c r="J915" s="23"/>
      <c r="K915" s="138"/>
      <c r="L915" s="22"/>
      <c r="M915" s="23"/>
    </row>
    <row r="916" spans="4:13" ht="12" customHeight="1">
      <c r="D916" s="135"/>
      <c r="E916" s="90"/>
      <c r="F916" s="50"/>
      <c r="G916" s="50"/>
      <c r="H916" s="50"/>
      <c r="I916" s="22"/>
      <c r="J916" s="23"/>
      <c r="K916" s="138"/>
      <c r="L916" s="22"/>
      <c r="M916" s="23"/>
    </row>
    <row r="917" spans="4:13" ht="12" customHeight="1">
      <c r="D917" s="135"/>
      <c r="E917" s="90"/>
      <c r="F917" s="50"/>
      <c r="G917" s="50"/>
      <c r="H917" s="50"/>
      <c r="I917" s="22"/>
      <c r="J917" s="23"/>
      <c r="K917" s="138"/>
      <c r="L917" s="22"/>
      <c r="M917" s="23"/>
    </row>
    <row r="918" spans="4:13" ht="12" customHeight="1">
      <c r="D918" s="135"/>
      <c r="E918" s="90"/>
      <c r="F918" s="50"/>
      <c r="G918" s="50"/>
      <c r="H918" s="50"/>
      <c r="I918" s="22"/>
      <c r="J918" s="23"/>
      <c r="K918" s="138"/>
      <c r="L918" s="22"/>
      <c r="M918" s="23"/>
    </row>
    <row r="919" spans="4:13" ht="12" customHeight="1">
      <c r="D919" s="135"/>
      <c r="E919" s="90"/>
      <c r="F919" s="50"/>
      <c r="G919" s="50"/>
      <c r="H919" s="50"/>
      <c r="I919" s="22"/>
      <c r="J919" s="23"/>
      <c r="K919" s="138"/>
      <c r="L919" s="22"/>
      <c r="M919" s="23"/>
    </row>
    <row r="920" spans="4:13" ht="12" customHeight="1">
      <c r="D920" s="135"/>
      <c r="E920" s="90"/>
      <c r="F920" s="50"/>
      <c r="G920" s="50"/>
      <c r="H920" s="50"/>
      <c r="I920" s="22"/>
      <c r="J920" s="23"/>
      <c r="K920" s="138"/>
      <c r="L920" s="22"/>
      <c r="M920" s="23"/>
    </row>
    <row r="921" spans="4:13" ht="12" customHeight="1">
      <c r="D921" s="135"/>
      <c r="E921" s="90"/>
      <c r="F921" s="50"/>
      <c r="G921" s="50"/>
      <c r="H921" s="50"/>
      <c r="I921" s="22"/>
      <c r="J921" s="23"/>
      <c r="K921" s="138"/>
      <c r="L921" s="22"/>
      <c r="M921" s="23"/>
    </row>
    <row r="922" spans="4:13" ht="12" customHeight="1">
      <c r="D922" s="135"/>
      <c r="E922" s="90"/>
      <c r="F922" s="50"/>
      <c r="G922" s="50"/>
      <c r="H922" s="50"/>
      <c r="I922" s="22"/>
      <c r="J922" s="23"/>
      <c r="K922" s="138"/>
      <c r="L922" s="22"/>
      <c r="M922" s="23"/>
    </row>
    <row r="923" spans="4:13" ht="12" customHeight="1">
      <c r="D923" s="135"/>
      <c r="E923" s="90"/>
      <c r="F923" s="50"/>
      <c r="G923" s="50"/>
      <c r="H923" s="50"/>
      <c r="I923" s="22"/>
      <c r="J923" s="23"/>
      <c r="K923" s="138"/>
      <c r="L923" s="22"/>
      <c r="M923" s="23"/>
    </row>
    <row r="924" spans="4:13" ht="12" customHeight="1">
      <c r="D924" s="135"/>
      <c r="E924" s="90"/>
      <c r="F924" s="50"/>
      <c r="G924" s="50"/>
      <c r="H924" s="50"/>
      <c r="I924" s="22"/>
      <c r="J924" s="23"/>
      <c r="K924" s="138"/>
      <c r="L924" s="22"/>
      <c r="M924" s="23"/>
    </row>
    <row r="925" spans="4:13" ht="12" customHeight="1">
      <c r="D925" s="135"/>
      <c r="E925" s="90"/>
      <c r="F925" s="50"/>
      <c r="G925" s="50"/>
      <c r="H925" s="50"/>
      <c r="I925" s="22"/>
      <c r="J925" s="23"/>
      <c r="K925" s="138"/>
      <c r="L925" s="22"/>
      <c r="M925" s="23"/>
    </row>
    <row r="926" spans="4:13" ht="12" customHeight="1">
      <c r="D926" s="135"/>
      <c r="E926" s="90"/>
      <c r="F926" s="50"/>
      <c r="G926" s="50"/>
      <c r="H926" s="50"/>
      <c r="I926" s="22"/>
      <c r="J926" s="23"/>
      <c r="K926" s="138"/>
      <c r="L926" s="22"/>
      <c r="M926" s="23"/>
    </row>
    <row r="927" spans="4:13" ht="12" customHeight="1">
      <c r="D927" s="135"/>
      <c r="E927" s="90"/>
      <c r="F927" s="50"/>
      <c r="G927" s="50"/>
      <c r="H927" s="50"/>
      <c r="I927" s="22"/>
      <c r="J927" s="23"/>
      <c r="K927" s="138"/>
      <c r="L927" s="22"/>
      <c r="M927" s="23"/>
    </row>
    <row r="928" spans="4:13" ht="12" customHeight="1">
      <c r="D928" s="135"/>
      <c r="E928" s="90"/>
      <c r="F928" s="50"/>
      <c r="G928" s="50"/>
      <c r="H928" s="50"/>
      <c r="I928" s="22"/>
      <c r="J928" s="23"/>
      <c r="K928" s="138"/>
      <c r="L928" s="22"/>
      <c r="M928" s="23"/>
    </row>
    <row r="929" spans="4:13" ht="12" customHeight="1">
      <c r="D929" s="135"/>
      <c r="E929" s="90"/>
      <c r="F929" s="50"/>
      <c r="G929" s="50"/>
      <c r="H929" s="50"/>
      <c r="I929" s="22"/>
      <c r="J929" s="23"/>
      <c r="K929" s="138"/>
      <c r="L929" s="22"/>
      <c r="M929" s="23"/>
    </row>
    <row r="930" spans="4:13" ht="12" customHeight="1">
      <c r="D930" s="135"/>
      <c r="E930" s="90"/>
      <c r="F930" s="50"/>
      <c r="G930" s="50"/>
      <c r="H930" s="50"/>
      <c r="I930" s="22"/>
      <c r="J930" s="23"/>
      <c r="K930" s="138"/>
      <c r="L930" s="22"/>
      <c r="M930" s="23"/>
    </row>
    <row r="931" spans="4:13" ht="12" customHeight="1">
      <c r="D931" s="135"/>
      <c r="E931" s="90"/>
      <c r="F931" s="50"/>
      <c r="G931" s="50"/>
      <c r="H931" s="50"/>
      <c r="I931" s="22"/>
      <c r="J931" s="23"/>
      <c r="K931" s="138"/>
      <c r="L931" s="22"/>
      <c r="M931" s="23"/>
    </row>
    <row r="932" spans="4:13" ht="12" customHeight="1">
      <c r="D932" s="135"/>
      <c r="E932" s="90"/>
      <c r="F932" s="50"/>
      <c r="G932" s="50"/>
      <c r="H932" s="50"/>
      <c r="I932" s="22"/>
      <c r="J932" s="23"/>
      <c r="K932" s="138"/>
      <c r="L932" s="22"/>
      <c r="M932" s="23"/>
    </row>
    <row r="933" spans="4:13" ht="12" customHeight="1">
      <c r="D933" s="135"/>
      <c r="E933" s="90"/>
      <c r="F933" s="50"/>
      <c r="G933" s="50"/>
      <c r="H933" s="50"/>
      <c r="I933" s="22"/>
      <c r="J933" s="23"/>
      <c r="K933" s="138"/>
      <c r="L933" s="22"/>
      <c r="M933" s="23"/>
    </row>
    <row r="934" spans="4:13" ht="12" customHeight="1">
      <c r="D934" s="135"/>
      <c r="E934" s="90"/>
      <c r="F934" s="50"/>
      <c r="G934" s="50"/>
      <c r="H934" s="50"/>
      <c r="I934" s="22"/>
      <c r="J934" s="23"/>
      <c r="K934" s="138"/>
      <c r="L934" s="22"/>
      <c r="M934" s="23"/>
    </row>
    <row r="935" spans="4:13" ht="12" customHeight="1">
      <c r="D935" s="135"/>
      <c r="E935" s="90"/>
      <c r="F935" s="50"/>
      <c r="G935" s="50"/>
      <c r="H935" s="50"/>
      <c r="I935" s="22"/>
      <c r="J935" s="23"/>
      <c r="K935" s="138"/>
      <c r="L935" s="22"/>
      <c r="M935" s="23"/>
    </row>
    <row r="936" spans="4:13" ht="12" customHeight="1">
      <c r="D936" s="135"/>
      <c r="E936" s="90"/>
      <c r="F936" s="50"/>
      <c r="G936" s="50"/>
      <c r="H936" s="50"/>
      <c r="I936" s="22"/>
      <c r="J936" s="23"/>
      <c r="K936" s="138"/>
      <c r="L936" s="22"/>
      <c r="M936" s="23"/>
    </row>
    <row r="937" spans="4:13" ht="12" customHeight="1">
      <c r="D937" s="12"/>
      <c r="I937" s="17"/>
      <c r="J937" s="55"/>
      <c r="K937" s="68"/>
      <c r="L937" s="17"/>
      <c r="M937" s="55"/>
    </row>
    <row r="938" spans="4:13" ht="12">
      <c r="D938" s="12"/>
      <c r="I938" s="17"/>
      <c r="J938" s="55"/>
      <c r="K938" s="68"/>
      <c r="L938" s="17"/>
      <c r="M938" s="55"/>
    </row>
    <row r="939" spans="4:13" ht="12">
      <c r="D939" s="12"/>
      <c r="I939" s="17"/>
      <c r="J939" s="55"/>
      <c r="K939" s="68"/>
      <c r="L939" s="17"/>
      <c r="M939" s="55"/>
    </row>
    <row r="940" spans="4:13" ht="12">
      <c r="D940" s="12"/>
      <c r="I940" s="17"/>
      <c r="J940" s="55"/>
      <c r="K940" s="68"/>
      <c r="L940" s="17"/>
      <c r="M940" s="55"/>
    </row>
    <row r="941" spans="4:13" ht="12">
      <c r="D941" s="12"/>
      <c r="I941" s="17"/>
      <c r="J941" s="55"/>
      <c r="K941" s="68"/>
      <c r="L941" s="17"/>
      <c r="M941" s="55"/>
    </row>
    <row r="942" spans="4:13" ht="12">
      <c r="D942" s="12"/>
      <c r="I942" s="17"/>
      <c r="J942" s="55"/>
      <c r="K942" s="68"/>
      <c r="L942" s="17"/>
      <c r="M942" s="55"/>
    </row>
    <row r="943" spans="4:13" ht="12">
      <c r="D943" s="12"/>
      <c r="I943" s="17"/>
      <c r="J943" s="55"/>
      <c r="K943" s="68"/>
      <c r="L943" s="17"/>
      <c r="M943" s="55"/>
    </row>
    <row r="944" spans="4:13" ht="12">
      <c r="D944" s="12"/>
      <c r="I944" s="17"/>
      <c r="J944" s="55"/>
      <c r="K944" s="68"/>
      <c r="L944" s="17"/>
      <c r="M944" s="55"/>
    </row>
    <row r="945" spans="4:13" ht="12">
      <c r="D945" s="12"/>
      <c r="I945" s="17"/>
      <c r="J945" s="55"/>
      <c r="K945" s="68"/>
      <c r="L945" s="17"/>
      <c r="M945" s="55"/>
    </row>
    <row r="946" spans="4:13" ht="12">
      <c r="D946" s="12"/>
      <c r="I946" s="17"/>
      <c r="J946" s="55"/>
      <c r="K946" s="68"/>
      <c r="L946" s="17"/>
      <c r="M946" s="55"/>
    </row>
    <row r="947" spans="4:13" ht="12">
      <c r="D947" s="12"/>
      <c r="I947" s="17"/>
      <c r="J947" s="55"/>
      <c r="K947" s="68"/>
      <c r="L947" s="17"/>
      <c r="M947" s="55"/>
    </row>
    <row r="948" spans="4:13" ht="12">
      <c r="D948" s="12"/>
      <c r="I948" s="17"/>
      <c r="J948" s="55"/>
      <c r="K948" s="68"/>
      <c r="L948" s="17"/>
      <c r="M948" s="55"/>
    </row>
    <row r="949" spans="4:13" ht="12">
      <c r="D949" s="12"/>
      <c r="I949" s="17"/>
      <c r="J949" s="55"/>
      <c r="K949" s="68"/>
      <c r="L949" s="17"/>
      <c r="M949" s="55"/>
    </row>
    <row r="950" spans="4:13" ht="12">
      <c r="D950" s="12"/>
      <c r="I950" s="17"/>
      <c r="J950" s="55"/>
      <c r="K950" s="68"/>
      <c r="L950" s="17"/>
      <c r="M950" s="55"/>
    </row>
    <row r="951" spans="4:13" ht="12">
      <c r="D951" s="12"/>
      <c r="I951" s="17"/>
      <c r="J951" s="55"/>
      <c r="K951" s="68"/>
      <c r="L951" s="17"/>
      <c r="M951" s="55"/>
    </row>
    <row r="952" spans="4:13" ht="12">
      <c r="D952" s="12"/>
      <c r="I952" s="17"/>
      <c r="J952" s="55"/>
      <c r="K952" s="68"/>
      <c r="L952" s="17"/>
      <c r="M952" s="55"/>
    </row>
    <row r="953" spans="4:13" ht="12">
      <c r="D953" s="12"/>
      <c r="I953" s="17"/>
      <c r="J953" s="55"/>
      <c r="K953" s="68"/>
      <c r="L953" s="17"/>
      <c r="M953" s="55"/>
    </row>
    <row r="954" spans="4:13" ht="12">
      <c r="D954" s="12"/>
      <c r="I954" s="17"/>
      <c r="J954" s="55"/>
      <c r="K954" s="68"/>
      <c r="L954" s="17"/>
      <c r="M954" s="55"/>
    </row>
    <row r="955" spans="4:13" ht="12">
      <c r="D955" s="12"/>
      <c r="I955" s="17"/>
      <c r="J955" s="55"/>
      <c r="K955" s="68"/>
      <c r="L955" s="17"/>
      <c r="M955" s="55"/>
    </row>
    <row r="956" spans="4:13" ht="12">
      <c r="D956" s="12"/>
      <c r="I956" s="17"/>
      <c r="J956" s="55"/>
      <c r="K956" s="68"/>
      <c r="L956" s="17"/>
      <c r="M956" s="55"/>
    </row>
    <row r="957" spans="4:13" ht="12">
      <c r="D957" s="12"/>
      <c r="I957" s="17"/>
      <c r="J957" s="55"/>
      <c r="K957" s="68"/>
      <c r="L957" s="17"/>
      <c r="M957" s="55"/>
    </row>
    <row r="958" spans="4:13" ht="12">
      <c r="D958" s="12"/>
      <c r="I958" s="17"/>
      <c r="J958" s="55"/>
      <c r="K958" s="68"/>
      <c r="L958" s="17"/>
      <c r="M958" s="55"/>
    </row>
    <row r="959" spans="4:13" ht="12">
      <c r="D959" s="12"/>
      <c r="I959" s="17"/>
      <c r="J959" s="55"/>
      <c r="K959" s="68"/>
      <c r="L959" s="17"/>
      <c r="M959" s="55"/>
    </row>
    <row r="960" spans="4:13" ht="12">
      <c r="D960" s="12"/>
      <c r="I960" s="17"/>
      <c r="J960" s="55"/>
      <c r="K960" s="68"/>
      <c r="L960" s="17"/>
      <c r="M960" s="55"/>
    </row>
    <row r="961" spans="4:13" ht="12">
      <c r="D961" s="12"/>
      <c r="I961" s="17"/>
      <c r="J961" s="55"/>
      <c r="K961" s="68"/>
      <c r="L961" s="17"/>
      <c r="M961" s="55"/>
    </row>
    <row r="1000" spans="4:13" ht="12">
      <c r="D1000" s="25"/>
      <c r="F1000" s="50"/>
      <c r="G1000" s="50"/>
      <c r="H1000" s="50"/>
      <c r="I1000" s="17"/>
      <c r="J1000" s="55"/>
      <c r="L1000" s="17"/>
      <c r="M1000" s="55"/>
    </row>
  </sheetData>
  <sheetProtection/>
  <mergeCells count="28">
    <mergeCell ref="N755:O758"/>
    <mergeCell ref="A475:M475"/>
    <mergeCell ref="A78:M78"/>
    <mergeCell ref="A37:M37"/>
    <mergeCell ref="B213:M213"/>
    <mergeCell ref="A117:M117"/>
    <mergeCell ref="A437:M437"/>
    <mergeCell ref="A513:M513"/>
    <mergeCell ref="A166:M166"/>
    <mergeCell ref="A400:M400"/>
    <mergeCell ref="A587:M587"/>
    <mergeCell ref="A786:M786"/>
    <mergeCell ref="A822:M822"/>
    <mergeCell ref="A5:M5"/>
    <mergeCell ref="A8:M8"/>
    <mergeCell ref="A9:M9"/>
    <mergeCell ref="A20:M20"/>
    <mergeCell ref="A33:M33"/>
    <mergeCell ref="D858:F858"/>
    <mergeCell ref="G860:H860"/>
    <mergeCell ref="I860:J860"/>
    <mergeCell ref="A550:M550"/>
    <mergeCell ref="A624:M624"/>
    <mergeCell ref="A747:M747"/>
    <mergeCell ref="L860:M860"/>
    <mergeCell ref="A661:M661"/>
    <mergeCell ref="A857:M857"/>
    <mergeCell ref="A697:M697"/>
  </mergeCells>
  <printOptions/>
  <pageMargins left="0.75" right="0.5" top="1" bottom="1" header="0.5" footer="0.24"/>
  <pageSetup fitToHeight="47" horizontalDpi="600" verticalDpi="600" orientation="landscape" scale="70" r:id="rId1"/>
  <rowBreaks count="23" manualBreakCount="23">
    <brk id="34" max="12" man="1"/>
    <brk id="75" max="12" man="1"/>
    <brk id="114" max="12" man="1"/>
    <brk id="163" max="12" man="1"/>
    <brk id="210" max="255" man="1"/>
    <brk id="259" max="12" man="1"/>
    <brk id="306" max="12" man="1"/>
    <brk id="327" max="12" man="1"/>
    <brk id="365" max="255" man="1"/>
    <brk id="397" max="12" man="1"/>
    <brk id="434" max="255" man="1"/>
    <brk id="472" max="12" man="1"/>
    <brk id="510" max="12" man="1"/>
    <brk id="547" max="255" man="1"/>
    <brk id="584" max="12" man="1"/>
    <brk id="621" max="12" man="1"/>
    <brk id="658" max="12" man="1"/>
    <brk id="694" max="12" man="1"/>
    <brk id="744" max="12" man="1"/>
    <brk id="783" max="12" man="1"/>
    <brk id="819" max="12" man="1"/>
    <brk id="854" max="12" man="1"/>
    <brk id="8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1016"/>
  <sheetViews>
    <sheetView showGridLines="0" showZeros="0" zoomScale="75" zoomScaleNormal="75" zoomScaleSheetLayoutView="65" workbookViewId="0" topLeftCell="A763">
      <selection activeCell="N944" sqref="N944"/>
    </sheetView>
  </sheetViews>
  <sheetFormatPr defaultColWidth="9.625" defaultRowHeight="12.75"/>
  <cols>
    <col min="1" max="1" width="7.625" style="7" customWidth="1"/>
    <col min="2" max="2" width="1.875" style="7" customWidth="1"/>
    <col min="3" max="3" width="33.00390625" style="7" customWidth="1"/>
    <col min="4" max="4" width="24.125" style="7" customWidth="1"/>
    <col min="5" max="6" width="8.125" style="7" customWidth="1"/>
    <col min="7" max="7" width="10.625" style="7" customWidth="1"/>
    <col min="8" max="8" width="13.75390625" style="7" customWidth="1"/>
    <col min="9" max="9" width="10.625" style="8" customWidth="1"/>
    <col min="10" max="10" width="13.75390625" style="9" customWidth="1"/>
    <col min="11" max="11" width="8.75390625" style="7" customWidth="1"/>
    <col min="12" max="12" width="10.00390625" style="8" bestFit="1" customWidth="1"/>
    <col min="13" max="13" width="13.625" style="9" customWidth="1"/>
    <col min="14" max="16384" width="9.625" style="7" customWidth="1"/>
  </cols>
  <sheetData>
    <row r="2" ht="12">
      <c r="M2" s="10" t="s">
        <v>147</v>
      </c>
    </row>
    <row r="3" ht="12">
      <c r="M3" s="195" t="s">
        <v>255</v>
      </c>
    </row>
    <row r="5" spans="1:13" ht="45">
      <c r="A5" s="263" t="s">
        <v>146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8" spans="1:13" s="45" customFormat="1" ht="33">
      <c r="A8" s="264" t="s">
        <v>256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3" s="45" customFormat="1" ht="33">
      <c r="A9" s="264" t="s">
        <v>257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20" spans="1:13" ht="45">
      <c r="A20" s="265" t="s">
        <v>591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</row>
    <row r="21" spans="1:13" ht="45">
      <c r="A21" s="265" t="s">
        <v>592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33" spans="1:13" ht="12.75">
      <c r="A33" s="266" t="s">
        <v>258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</row>
    <row r="34" spans="1:13" ht="12">
      <c r="A34" s="11"/>
      <c r="C34" s="12"/>
      <c r="E34" s="11"/>
      <c r="F34" s="13"/>
      <c r="G34" s="13"/>
      <c r="H34" s="13"/>
      <c r="I34" s="14"/>
      <c r="J34" s="15"/>
      <c r="K34" s="13"/>
      <c r="L34" s="14"/>
      <c r="M34" s="15"/>
    </row>
    <row r="35" spans="1:13" ht="12">
      <c r="A35" s="11"/>
      <c r="C35" s="12"/>
      <c r="E35" s="11"/>
      <c r="F35" s="13"/>
      <c r="G35" s="13"/>
      <c r="H35" s="13"/>
      <c r="I35" s="14"/>
      <c r="J35" s="15"/>
      <c r="K35" s="13"/>
      <c r="L35" s="14"/>
      <c r="M35" s="15"/>
    </row>
    <row r="36" spans="1:13" ht="12">
      <c r="A36" s="19" t="s">
        <v>593</v>
      </c>
      <c r="B36" s="16"/>
      <c r="I36" s="17"/>
      <c r="M36" s="18" t="s">
        <v>18</v>
      </c>
    </row>
    <row r="37" spans="1:13" s="46" customFormat="1" ht="12">
      <c r="A37" s="261" t="s">
        <v>19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</row>
    <row r="38" spans="1:13" ht="12">
      <c r="A38" s="19" t="s">
        <v>664</v>
      </c>
      <c r="C38" s="7" t="s">
        <v>665</v>
      </c>
      <c r="I38" s="17"/>
      <c r="K38" s="5"/>
      <c r="L38" s="17"/>
      <c r="M38" s="20" t="str">
        <f>$M$3</f>
        <v>Date: 10/1/2008</v>
      </c>
    </row>
    <row r="39" spans="1:13" ht="12">
      <c r="A39" s="21" t="s">
        <v>1</v>
      </c>
      <c r="B39" s="21" t="s">
        <v>1</v>
      </c>
      <c r="C39" s="21" t="s">
        <v>1</v>
      </c>
      <c r="D39" s="21" t="s">
        <v>1</v>
      </c>
      <c r="E39" s="21" t="s">
        <v>1</v>
      </c>
      <c r="F39" s="21" t="s">
        <v>1</v>
      </c>
      <c r="G39" s="21"/>
      <c r="H39" s="21"/>
      <c r="I39" s="22" t="s">
        <v>1</v>
      </c>
      <c r="J39" s="23" t="s">
        <v>1</v>
      </c>
      <c r="K39" s="21" t="s">
        <v>1</v>
      </c>
      <c r="L39" s="22" t="s">
        <v>1</v>
      </c>
      <c r="M39" s="23" t="s">
        <v>1</v>
      </c>
    </row>
    <row r="40" spans="1:13" ht="12">
      <c r="A40" s="24" t="s">
        <v>2</v>
      </c>
      <c r="C40" s="12" t="s">
        <v>3</v>
      </c>
      <c r="E40" s="24" t="s">
        <v>2</v>
      </c>
      <c r="F40" s="25"/>
      <c r="G40" s="25"/>
      <c r="H40" s="25" t="s">
        <v>249</v>
      </c>
      <c r="I40" s="26"/>
      <c r="J40" s="27" t="s">
        <v>251</v>
      </c>
      <c r="K40" s="25"/>
      <c r="L40" s="26"/>
      <c r="M40" s="27" t="s">
        <v>260</v>
      </c>
    </row>
    <row r="41" spans="1:13" ht="12">
      <c r="A41" s="24" t="s">
        <v>4</v>
      </c>
      <c r="C41" s="28" t="s">
        <v>5</v>
      </c>
      <c r="E41" s="24" t="s">
        <v>4</v>
      </c>
      <c r="F41" s="25"/>
      <c r="G41" s="25" t="s">
        <v>21</v>
      </c>
      <c r="H41" s="25" t="s">
        <v>7</v>
      </c>
      <c r="I41" s="26" t="s">
        <v>6</v>
      </c>
      <c r="J41" s="27" t="s">
        <v>7</v>
      </c>
      <c r="K41" s="25"/>
      <c r="L41" s="26" t="s">
        <v>6</v>
      </c>
      <c r="M41" s="27" t="s">
        <v>8</v>
      </c>
    </row>
    <row r="42" spans="1:13" ht="12">
      <c r="A42" s="21" t="s">
        <v>1</v>
      </c>
      <c r="B42" s="21" t="s">
        <v>1</v>
      </c>
      <c r="C42" s="21" t="s">
        <v>1</v>
      </c>
      <c r="D42" s="21" t="s">
        <v>1</v>
      </c>
      <c r="E42" s="21" t="s">
        <v>1</v>
      </c>
      <c r="F42" s="21" t="s">
        <v>1</v>
      </c>
      <c r="G42" s="21"/>
      <c r="H42" s="21"/>
      <c r="I42" s="22" t="s">
        <v>1</v>
      </c>
      <c r="J42" s="22" t="s">
        <v>1</v>
      </c>
      <c r="K42" s="21" t="s">
        <v>1</v>
      </c>
      <c r="L42" s="22" t="s">
        <v>1</v>
      </c>
      <c r="M42" s="23" t="s">
        <v>1</v>
      </c>
    </row>
    <row r="43" spans="1:13" ht="12">
      <c r="A43" s="11">
        <v>1</v>
      </c>
      <c r="C43" s="12" t="s">
        <v>9</v>
      </c>
      <c r="D43" s="29" t="s">
        <v>106</v>
      </c>
      <c r="E43" s="11">
        <v>1</v>
      </c>
      <c r="G43" s="47">
        <f>+G522</f>
        <v>741.13</v>
      </c>
      <c r="H43" s="48">
        <f>+H522</f>
        <v>54344200</v>
      </c>
      <c r="I43" s="47">
        <f>+I522</f>
        <v>726.5518403521617</v>
      </c>
      <c r="J43" s="48">
        <f>+J522</f>
        <v>63041773</v>
      </c>
      <c r="K43" s="30"/>
      <c r="L43" s="47">
        <f>+L522</f>
        <v>769.95</v>
      </c>
      <c r="M43" s="48">
        <f>+M522</f>
        <v>67630739</v>
      </c>
    </row>
    <row r="44" spans="1:13" ht="12">
      <c r="A44" s="11">
        <v>2</v>
      </c>
      <c r="C44" s="12" t="s">
        <v>10</v>
      </c>
      <c r="D44" s="29" t="s">
        <v>107</v>
      </c>
      <c r="E44" s="11">
        <v>2</v>
      </c>
      <c r="G44" s="47">
        <f>+G559</f>
        <v>0.14</v>
      </c>
      <c r="H44" s="48">
        <f>+H559</f>
        <v>41397</v>
      </c>
      <c r="I44" s="47">
        <f>+I559</f>
        <v>0.56</v>
      </c>
      <c r="J44" s="48">
        <f>+J559</f>
        <v>60611</v>
      </c>
      <c r="K44" s="30"/>
      <c r="L44" s="47">
        <f>+L559</f>
        <v>0</v>
      </c>
      <c r="M44" s="48">
        <f>+M559</f>
        <v>26028</v>
      </c>
    </row>
    <row r="45" spans="1:13" ht="12">
      <c r="A45" s="11">
        <v>3</v>
      </c>
      <c r="C45" s="12" t="s">
        <v>11</v>
      </c>
      <c r="D45" s="29" t="s">
        <v>108</v>
      </c>
      <c r="E45" s="11">
        <v>3</v>
      </c>
      <c r="G45" s="47">
        <f>+G596</f>
        <v>2.13</v>
      </c>
      <c r="H45" s="48">
        <f>+H596</f>
        <v>231196</v>
      </c>
      <c r="I45" s="47">
        <f>+I596</f>
        <v>1.674646181940888</v>
      </c>
      <c r="J45" s="48">
        <f>+J596</f>
        <v>136029</v>
      </c>
      <c r="K45" s="30"/>
      <c r="L45" s="47">
        <f>+L596</f>
        <v>1.12</v>
      </c>
      <c r="M45" s="48">
        <f>+M596</f>
        <v>160161</v>
      </c>
    </row>
    <row r="46" spans="1:13" ht="12">
      <c r="A46" s="11">
        <v>4</v>
      </c>
      <c r="C46" s="12" t="s">
        <v>12</v>
      </c>
      <c r="D46" s="29" t="s">
        <v>109</v>
      </c>
      <c r="E46" s="11">
        <v>4</v>
      </c>
      <c r="G46" s="47">
        <f>+G633</f>
        <v>184.24</v>
      </c>
      <c r="H46" s="48">
        <f>+H633</f>
        <v>14875192</v>
      </c>
      <c r="I46" s="47">
        <f>+I633</f>
        <v>186.44564480506523</v>
      </c>
      <c r="J46" s="48">
        <f>+J633</f>
        <v>15979392</v>
      </c>
      <c r="K46" s="30"/>
      <c r="L46" s="47">
        <f>+L633</f>
        <v>192.25</v>
      </c>
      <c r="M46" s="48">
        <f>+M633</f>
        <v>16762943</v>
      </c>
    </row>
    <row r="47" spans="1:13" ht="12">
      <c r="A47" s="11">
        <v>5</v>
      </c>
      <c r="C47" s="12" t="s">
        <v>13</v>
      </c>
      <c r="D47" s="29" t="s">
        <v>110</v>
      </c>
      <c r="E47" s="11">
        <v>5</v>
      </c>
      <c r="G47" s="47">
        <f>+G670</f>
        <v>53.91</v>
      </c>
      <c r="H47" s="48">
        <f>+H670</f>
        <v>4687123</v>
      </c>
      <c r="I47" s="47">
        <f>+I670</f>
        <v>69.79833747206521</v>
      </c>
      <c r="J47" s="48">
        <f>+J670</f>
        <v>5659399</v>
      </c>
      <c r="K47" s="30"/>
      <c r="L47" s="47">
        <f>+L670</f>
        <v>77.19</v>
      </c>
      <c r="M47" s="48">
        <f>+M670</f>
        <v>6734771</v>
      </c>
    </row>
    <row r="48" spans="1:13" ht="12">
      <c r="A48" s="11">
        <v>6</v>
      </c>
      <c r="C48" s="12" t="s">
        <v>14</v>
      </c>
      <c r="D48" s="29" t="s">
        <v>111</v>
      </c>
      <c r="E48" s="11">
        <v>6</v>
      </c>
      <c r="G48" s="47">
        <f>+G706</f>
        <v>69.91</v>
      </c>
      <c r="H48" s="48">
        <f>+H706</f>
        <v>7127895</v>
      </c>
      <c r="I48" s="47">
        <f>+I706</f>
        <v>92.49233272802073</v>
      </c>
      <c r="J48" s="48">
        <f>+J706</f>
        <v>10606133</v>
      </c>
      <c r="K48" s="30"/>
      <c r="L48" s="47">
        <f>+L706</f>
        <v>109.43318553772757</v>
      </c>
      <c r="M48" s="48">
        <f>+M706</f>
        <v>12787846</v>
      </c>
    </row>
    <row r="49" spans="1:13" ht="12">
      <c r="A49" s="11">
        <v>7</v>
      </c>
      <c r="C49" s="12" t="s">
        <v>59</v>
      </c>
      <c r="D49" s="29" t="s">
        <v>112</v>
      </c>
      <c r="E49" s="11">
        <v>7</v>
      </c>
      <c r="G49" s="47">
        <f>+G742</f>
        <v>29.529999999999998</v>
      </c>
      <c r="H49" s="48">
        <f>+H742</f>
        <v>7219024</v>
      </c>
      <c r="I49" s="47">
        <f>+I742</f>
        <v>17.429340947240515</v>
      </c>
      <c r="J49" s="48">
        <f>+J742</f>
        <v>5073453</v>
      </c>
      <c r="K49" s="30"/>
      <c r="L49" s="47">
        <f>+L742</f>
        <v>19.81</v>
      </c>
      <c r="M49" s="48">
        <f>+M742</f>
        <v>6159629</v>
      </c>
    </row>
    <row r="50" spans="1:13" ht="12">
      <c r="A50" s="11">
        <v>8</v>
      </c>
      <c r="C50" s="12" t="s">
        <v>15</v>
      </c>
      <c r="D50" s="29" t="s">
        <v>113</v>
      </c>
      <c r="E50" s="11">
        <v>8</v>
      </c>
      <c r="G50" s="47">
        <v>0</v>
      </c>
      <c r="H50" s="48">
        <f>+H793</f>
        <v>4399048</v>
      </c>
      <c r="I50" s="47">
        <v>0</v>
      </c>
      <c r="J50" s="48">
        <f>+J793</f>
        <v>5861486</v>
      </c>
      <c r="K50" s="30"/>
      <c r="L50" s="47">
        <v>0</v>
      </c>
      <c r="M50" s="48">
        <f>+M793</f>
        <v>6714362</v>
      </c>
    </row>
    <row r="51" spans="1:13" ht="12">
      <c r="A51" s="11">
        <v>9</v>
      </c>
      <c r="C51" s="12" t="s">
        <v>90</v>
      </c>
      <c r="D51" s="29" t="s">
        <v>114</v>
      </c>
      <c r="E51" s="11">
        <v>9</v>
      </c>
      <c r="G51" s="180">
        <f>G832</f>
        <v>0</v>
      </c>
      <c r="H51" s="180">
        <f aca="true" t="shared" si="0" ref="H51:M51">H832</f>
        <v>0</v>
      </c>
      <c r="I51" s="180">
        <f t="shared" si="0"/>
        <v>0</v>
      </c>
      <c r="J51" s="180">
        <f t="shared" si="0"/>
        <v>0</v>
      </c>
      <c r="K51" s="180">
        <f t="shared" si="0"/>
        <v>0</v>
      </c>
      <c r="L51" s="180">
        <f t="shared" si="0"/>
        <v>0</v>
      </c>
      <c r="M51" s="180">
        <f t="shared" si="0"/>
        <v>0</v>
      </c>
    </row>
    <row r="52" spans="1:13" ht="12">
      <c r="A52" s="11">
        <v>10</v>
      </c>
      <c r="C52" s="12" t="s">
        <v>16</v>
      </c>
      <c r="D52" s="29" t="s">
        <v>89</v>
      </c>
      <c r="E52" s="11">
        <v>10</v>
      </c>
      <c r="G52" s="47">
        <v>0</v>
      </c>
      <c r="H52" s="48">
        <f>+H867</f>
        <v>16230137</v>
      </c>
      <c r="I52" s="47">
        <v>0</v>
      </c>
      <c r="J52" s="48">
        <f>+J867</f>
        <v>17065775</v>
      </c>
      <c r="K52" s="30"/>
      <c r="L52" s="47">
        <v>0</v>
      </c>
      <c r="M52" s="48">
        <f>+M867</f>
        <v>15301067</v>
      </c>
    </row>
    <row r="53" spans="1:13" ht="12">
      <c r="A53" s="11"/>
      <c r="C53" s="12"/>
      <c r="D53" s="29"/>
      <c r="E53" s="11"/>
      <c r="F53" s="21" t="s">
        <v>1</v>
      </c>
      <c r="G53" s="21"/>
      <c r="H53" s="49"/>
      <c r="I53" s="22" t="s">
        <v>1</v>
      </c>
      <c r="J53" s="49"/>
      <c r="K53" s="32"/>
      <c r="L53" s="22"/>
      <c r="M53" s="49"/>
    </row>
    <row r="54" spans="1:13" ht="15.75" customHeight="1">
      <c r="A54" s="7">
        <v>11</v>
      </c>
      <c r="C54" s="12" t="s">
        <v>232</v>
      </c>
      <c r="E54" s="7">
        <v>11</v>
      </c>
      <c r="G54" s="47">
        <f>SUM(G43:G52)</f>
        <v>1080.99</v>
      </c>
      <c r="H54" s="48">
        <f>SUM(H43:H52)</f>
        <v>109155212</v>
      </c>
      <c r="I54" s="47">
        <f>SUM(I43:I52)</f>
        <v>1094.9521424864943</v>
      </c>
      <c r="J54" s="48">
        <f>SUM(J43:J52)</f>
        <v>123484051</v>
      </c>
      <c r="K54" s="30"/>
      <c r="L54" s="47">
        <f>SUM(L43:L52)</f>
        <v>1169.7531855377274</v>
      </c>
      <c r="M54" s="48">
        <f>SUM(M43:M52)</f>
        <v>132277546</v>
      </c>
    </row>
    <row r="55" spans="1:13" ht="12">
      <c r="A55" s="11"/>
      <c r="E55" s="11"/>
      <c r="F55" s="21" t="s">
        <v>1</v>
      </c>
      <c r="G55" s="21"/>
      <c r="H55" s="21"/>
      <c r="I55" s="22" t="s">
        <v>1</v>
      </c>
      <c r="J55" s="23"/>
      <c r="K55" s="32"/>
      <c r="L55" s="22"/>
      <c r="M55" s="23"/>
    </row>
    <row r="56" spans="1:13" ht="12">
      <c r="A56" s="11"/>
      <c r="E56" s="11"/>
      <c r="F56" s="21"/>
      <c r="G56" s="21"/>
      <c r="H56" s="21"/>
      <c r="I56" s="17"/>
      <c r="J56" s="23"/>
      <c r="K56" s="32"/>
      <c r="L56" s="17"/>
      <c r="M56" s="23"/>
    </row>
    <row r="57" spans="1:13" ht="12">
      <c r="A57" s="7">
        <v>12</v>
      </c>
      <c r="C57" s="12" t="s">
        <v>17</v>
      </c>
      <c r="E57" s="7">
        <v>12</v>
      </c>
      <c r="G57" s="30"/>
      <c r="H57" s="30"/>
      <c r="I57" s="31"/>
      <c r="J57" s="31"/>
      <c r="K57" s="30"/>
      <c r="L57" s="47"/>
      <c r="M57" s="31"/>
    </row>
    <row r="58" spans="1:13" ht="12">
      <c r="A58" s="11">
        <v>13</v>
      </c>
      <c r="C58" s="12" t="s">
        <v>205</v>
      </c>
      <c r="D58" s="29" t="s">
        <v>228</v>
      </c>
      <c r="E58" s="11">
        <v>13</v>
      </c>
      <c r="G58" s="47">
        <v>0</v>
      </c>
      <c r="H58" s="48">
        <v>0</v>
      </c>
      <c r="I58" s="47">
        <v>0</v>
      </c>
      <c r="J58" s="48">
        <v>0</v>
      </c>
      <c r="K58" s="30"/>
      <c r="L58" s="47">
        <v>0</v>
      </c>
      <c r="M58" s="47">
        <v>0</v>
      </c>
    </row>
    <row r="59" spans="1:13" ht="12">
      <c r="A59" s="11">
        <v>14</v>
      </c>
      <c r="C59" s="12" t="s">
        <v>206</v>
      </c>
      <c r="D59" s="29" t="s">
        <v>229</v>
      </c>
      <c r="E59" s="11">
        <v>14</v>
      </c>
      <c r="G59" s="47">
        <v>0</v>
      </c>
      <c r="H59" s="48">
        <f>H457</f>
        <v>11893085</v>
      </c>
      <c r="I59" s="47">
        <v>0</v>
      </c>
      <c r="J59" s="48">
        <f>J457</f>
        <v>14341658</v>
      </c>
      <c r="K59" s="30"/>
      <c r="L59" s="47">
        <v>0</v>
      </c>
      <c r="M59" s="48">
        <v>15413397</v>
      </c>
    </row>
    <row r="60" spans="1:13" ht="12">
      <c r="A60" s="11">
        <v>15</v>
      </c>
      <c r="C60" s="12" t="s">
        <v>225</v>
      </c>
      <c r="D60" s="29"/>
      <c r="E60" s="11">
        <v>15</v>
      </c>
      <c r="G60" s="47">
        <v>0</v>
      </c>
      <c r="H60" s="48">
        <v>15386680</v>
      </c>
      <c r="I60" s="47">
        <v>0</v>
      </c>
      <c r="J60" s="48">
        <f>J423</f>
        <v>16942522</v>
      </c>
      <c r="K60" s="30"/>
      <c r="L60" s="47">
        <v>0</v>
      </c>
      <c r="M60" s="48">
        <v>17618042</v>
      </c>
    </row>
    <row r="61" spans="1:14" ht="12">
      <c r="A61" s="11">
        <v>16</v>
      </c>
      <c r="C61" s="12" t="s">
        <v>224</v>
      </c>
      <c r="D61" s="29"/>
      <c r="E61" s="11">
        <v>16</v>
      </c>
      <c r="G61" s="47">
        <f>+G305-G60</f>
        <v>6106.799999999999</v>
      </c>
      <c r="H61" s="48">
        <f>+H305-H60</f>
        <v>33711018</v>
      </c>
      <c r="I61" s="47">
        <f>+I305-I60</f>
        <v>6361.299999999999</v>
      </c>
      <c r="J61" s="48">
        <f>+J305-J60</f>
        <v>38367981</v>
      </c>
      <c r="K61" s="30"/>
      <c r="L61" s="47">
        <f>+L305-L60</f>
        <v>6642.5</v>
      </c>
      <c r="M61" s="48">
        <f>+M305-M60</f>
        <v>41905447</v>
      </c>
      <c r="N61" s="181"/>
    </row>
    <row r="62" spans="1:256" ht="12">
      <c r="A62" s="29">
        <v>17</v>
      </c>
      <c r="B62" s="29"/>
      <c r="C62" s="33" t="s">
        <v>226</v>
      </c>
      <c r="D62" s="29" t="s">
        <v>246</v>
      </c>
      <c r="E62" s="29">
        <v>17</v>
      </c>
      <c r="F62" s="29"/>
      <c r="G62" s="47">
        <f>G312</f>
        <v>6489.699999999999</v>
      </c>
      <c r="H62" s="48">
        <f>SUM(H60:H61)</f>
        <v>49097698</v>
      </c>
      <c r="I62" s="47">
        <f>I312</f>
        <v>6854.199999999999</v>
      </c>
      <c r="J62" s="48">
        <f>SUM(J60:J61)</f>
        <v>55310503</v>
      </c>
      <c r="K62" s="33"/>
      <c r="L62" s="47">
        <f>L312</f>
        <v>7196.4</v>
      </c>
      <c r="M62" s="48">
        <f>SUM(M60:M61)</f>
        <v>59523489</v>
      </c>
      <c r="N62" s="29"/>
      <c r="O62" s="33"/>
      <c r="P62" s="29"/>
      <c r="Q62" s="33"/>
      <c r="R62" s="29"/>
      <c r="S62" s="33"/>
      <c r="T62" s="29"/>
      <c r="U62" s="33"/>
      <c r="V62" s="29"/>
      <c r="W62" s="33"/>
      <c r="X62" s="29"/>
      <c r="Y62" s="33"/>
      <c r="Z62" s="29"/>
      <c r="AA62" s="33"/>
      <c r="AB62" s="29"/>
      <c r="AC62" s="33"/>
      <c r="AD62" s="29"/>
      <c r="AE62" s="33"/>
      <c r="AF62" s="29"/>
      <c r="AG62" s="33"/>
      <c r="AH62" s="29"/>
      <c r="AI62" s="33"/>
      <c r="AJ62" s="29"/>
      <c r="AK62" s="33"/>
      <c r="AL62" s="29"/>
      <c r="AM62" s="33"/>
      <c r="AN62" s="29"/>
      <c r="AO62" s="33"/>
      <c r="AP62" s="29"/>
      <c r="AQ62" s="33"/>
      <c r="AR62" s="29"/>
      <c r="AS62" s="33"/>
      <c r="AT62" s="29"/>
      <c r="AU62" s="33"/>
      <c r="AV62" s="29"/>
      <c r="AW62" s="33"/>
      <c r="AX62" s="29"/>
      <c r="AY62" s="33"/>
      <c r="AZ62" s="29"/>
      <c r="BA62" s="33"/>
      <c r="BB62" s="29"/>
      <c r="BC62" s="33"/>
      <c r="BD62" s="29"/>
      <c r="BE62" s="33"/>
      <c r="BF62" s="29"/>
      <c r="BG62" s="33"/>
      <c r="BH62" s="29"/>
      <c r="BI62" s="33"/>
      <c r="BJ62" s="29"/>
      <c r="BK62" s="33"/>
      <c r="BL62" s="29"/>
      <c r="BM62" s="33"/>
      <c r="BN62" s="29"/>
      <c r="BO62" s="33"/>
      <c r="BP62" s="29"/>
      <c r="BQ62" s="33"/>
      <c r="BR62" s="29"/>
      <c r="BS62" s="33"/>
      <c r="BT62" s="29"/>
      <c r="BU62" s="33"/>
      <c r="BV62" s="29"/>
      <c r="BW62" s="33"/>
      <c r="BX62" s="29"/>
      <c r="BY62" s="33"/>
      <c r="BZ62" s="29"/>
      <c r="CA62" s="33"/>
      <c r="CB62" s="29"/>
      <c r="CC62" s="33"/>
      <c r="CD62" s="29"/>
      <c r="CE62" s="33"/>
      <c r="CF62" s="29"/>
      <c r="CG62" s="33"/>
      <c r="CH62" s="29"/>
      <c r="CI62" s="33"/>
      <c r="CJ62" s="29"/>
      <c r="CK62" s="33"/>
      <c r="CL62" s="29"/>
      <c r="CM62" s="33"/>
      <c r="CN62" s="29"/>
      <c r="CO62" s="33"/>
      <c r="CP62" s="29"/>
      <c r="CQ62" s="33"/>
      <c r="CR62" s="29"/>
      <c r="CS62" s="33"/>
      <c r="CT62" s="29"/>
      <c r="CU62" s="33"/>
      <c r="CV62" s="29"/>
      <c r="CW62" s="33"/>
      <c r="CX62" s="29"/>
      <c r="CY62" s="33"/>
      <c r="CZ62" s="29"/>
      <c r="DA62" s="33"/>
      <c r="DB62" s="29"/>
      <c r="DC62" s="33"/>
      <c r="DD62" s="29"/>
      <c r="DE62" s="33"/>
      <c r="DF62" s="29"/>
      <c r="DG62" s="33"/>
      <c r="DH62" s="29"/>
      <c r="DI62" s="33"/>
      <c r="DJ62" s="29"/>
      <c r="DK62" s="33"/>
      <c r="DL62" s="29"/>
      <c r="DM62" s="33"/>
      <c r="DN62" s="29"/>
      <c r="DO62" s="33"/>
      <c r="DP62" s="29"/>
      <c r="DQ62" s="33"/>
      <c r="DR62" s="29"/>
      <c r="DS62" s="33"/>
      <c r="DT62" s="29"/>
      <c r="DU62" s="33"/>
      <c r="DV62" s="29"/>
      <c r="DW62" s="33"/>
      <c r="DX62" s="29"/>
      <c r="DY62" s="33"/>
      <c r="DZ62" s="29"/>
      <c r="EA62" s="33"/>
      <c r="EB62" s="29"/>
      <c r="EC62" s="33"/>
      <c r="ED62" s="29"/>
      <c r="EE62" s="33"/>
      <c r="EF62" s="29"/>
      <c r="EG62" s="33"/>
      <c r="EH62" s="29"/>
      <c r="EI62" s="33"/>
      <c r="EJ62" s="29"/>
      <c r="EK62" s="33"/>
      <c r="EL62" s="29"/>
      <c r="EM62" s="33"/>
      <c r="EN62" s="29"/>
      <c r="EO62" s="33"/>
      <c r="EP62" s="29"/>
      <c r="EQ62" s="33"/>
      <c r="ER62" s="29"/>
      <c r="ES62" s="33"/>
      <c r="ET62" s="29"/>
      <c r="EU62" s="33"/>
      <c r="EV62" s="29"/>
      <c r="EW62" s="33"/>
      <c r="EX62" s="29"/>
      <c r="EY62" s="33"/>
      <c r="EZ62" s="29"/>
      <c r="FA62" s="33"/>
      <c r="FB62" s="29"/>
      <c r="FC62" s="33"/>
      <c r="FD62" s="29"/>
      <c r="FE62" s="33"/>
      <c r="FF62" s="29"/>
      <c r="FG62" s="33"/>
      <c r="FH62" s="29"/>
      <c r="FI62" s="33"/>
      <c r="FJ62" s="29"/>
      <c r="FK62" s="33"/>
      <c r="FL62" s="29"/>
      <c r="FM62" s="33"/>
      <c r="FN62" s="29"/>
      <c r="FO62" s="33"/>
      <c r="FP62" s="29"/>
      <c r="FQ62" s="33"/>
      <c r="FR62" s="29"/>
      <c r="FS62" s="33"/>
      <c r="FT62" s="29"/>
      <c r="FU62" s="33"/>
      <c r="FV62" s="29"/>
      <c r="FW62" s="33"/>
      <c r="FX62" s="29"/>
      <c r="FY62" s="33"/>
      <c r="FZ62" s="29"/>
      <c r="GA62" s="33"/>
      <c r="GB62" s="29"/>
      <c r="GC62" s="33"/>
      <c r="GD62" s="29"/>
      <c r="GE62" s="33"/>
      <c r="GF62" s="29"/>
      <c r="GG62" s="33"/>
      <c r="GH62" s="29"/>
      <c r="GI62" s="33"/>
      <c r="GJ62" s="29"/>
      <c r="GK62" s="33"/>
      <c r="GL62" s="29"/>
      <c r="GM62" s="33"/>
      <c r="GN62" s="29"/>
      <c r="GO62" s="33"/>
      <c r="GP62" s="29"/>
      <c r="GQ62" s="33"/>
      <c r="GR62" s="29"/>
      <c r="GS62" s="33"/>
      <c r="GT62" s="29"/>
      <c r="GU62" s="33"/>
      <c r="GV62" s="29"/>
      <c r="GW62" s="33"/>
      <c r="GX62" s="29"/>
      <c r="GY62" s="33"/>
      <c r="GZ62" s="29"/>
      <c r="HA62" s="33"/>
      <c r="HB62" s="29"/>
      <c r="HC62" s="33"/>
      <c r="HD62" s="29"/>
      <c r="HE62" s="33"/>
      <c r="HF62" s="29"/>
      <c r="HG62" s="33"/>
      <c r="HH62" s="29"/>
      <c r="HI62" s="33"/>
      <c r="HJ62" s="29"/>
      <c r="HK62" s="33"/>
      <c r="HL62" s="29"/>
      <c r="HM62" s="33"/>
      <c r="HN62" s="29"/>
      <c r="HO62" s="33"/>
      <c r="HP62" s="29"/>
      <c r="HQ62" s="33"/>
      <c r="HR62" s="29"/>
      <c r="HS62" s="33"/>
      <c r="HT62" s="29"/>
      <c r="HU62" s="33"/>
      <c r="HV62" s="29"/>
      <c r="HW62" s="33"/>
      <c r="HX62" s="29"/>
      <c r="HY62" s="33"/>
      <c r="HZ62" s="29"/>
      <c r="IA62" s="33"/>
      <c r="IB62" s="29"/>
      <c r="IC62" s="33"/>
      <c r="ID62" s="29"/>
      <c r="IE62" s="33"/>
      <c r="IF62" s="29"/>
      <c r="IG62" s="33"/>
      <c r="IH62" s="29"/>
      <c r="II62" s="33"/>
      <c r="IJ62" s="29"/>
      <c r="IK62" s="33"/>
      <c r="IL62" s="29"/>
      <c r="IM62" s="33"/>
      <c r="IN62" s="29"/>
      <c r="IO62" s="33"/>
      <c r="IP62" s="29"/>
      <c r="IQ62" s="33"/>
      <c r="IR62" s="29"/>
      <c r="IS62" s="33"/>
      <c r="IT62" s="29"/>
      <c r="IU62" s="33"/>
      <c r="IV62" s="29"/>
    </row>
    <row r="63" spans="1:13" ht="12">
      <c r="A63" s="11">
        <v>18</v>
      </c>
      <c r="C63" s="12" t="s">
        <v>227</v>
      </c>
      <c r="D63" s="29" t="s">
        <v>246</v>
      </c>
      <c r="E63" s="11">
        <v>18</v>
      </c>
      <c r="G63" s="47">
        <f>+G304</f>
        <v>2099.2</v>
      </c>
      <c r="H63" s="48">
        <f>+H304</f>
        <v>22287280</v>
      </c>
      <c r="I63" s="47">
        <f>+I304</f>
        <v>2123.1</v>
      </c>
      <c r="J63" s="48">
        <f>+J304</f>
        <v>23021137</v>
      </c>
      <c r="K63" s="30"/>
      <c r="L63" s="47">
        <f>+L304</f>
        <v>2098</v>
      </c>
      <c r="M63" s="48">
        <f>+M304</f>
        <v>24028704</v>
      </c>
    </row>
    <row r="64" spans="1:13" ht="12">
      <c r="A64" s="11">
        <v>19</v>
      </c>
      <c r="C64" s="12" t="s">
        <v>183</v>
      </c>
      <c r="D64" s="29" t="s">
        <v>246</v>
      </c>
      <c r="E64" s="11">
        <v>19</v>
      </c>
      <c r="G64" s="47">
        <f>+G310</f>
        <v>638.0999999999999</v>
      </c>
      <c r="H64" s="48">
        <f>+H310</f>
        <v>13134949</v>
      </c>
      <c r="I64" s="47">
        <f>+I310</f>
        <v>788.4</v>
      </c>
      <c r="J64" s="48">
        <f>+J310</f>
        <v>17148236</v>
      </c>
      <c r="K64" s="30"/>
      <c r="L64" s="47">
        <f>+L310</f>
        <v>837.7</v>
      </c>
      <c r="M64" s="48">
        <f>+M310</f>
        <v>19286248</v>
      </c>
    </row>
    <row r="65" spans="1:15" ht="12">
      <c r="A65" s="11">
        <v>20</v>
      </c>
      <c r="C65" s="12" t="s">
        <v>160</v>
      </c>
      <c r="D65" s="29" t="s">
        <v>246</v>
      </c>
      <c r="E65" s="11">
        <v>20</v>
      </c>
      <c r="G65" s="47">
        <f>G62+G63+G64</f>
        <v>9226.999999999998</v>
      </c>
      <c r="H65" s="48">
        <f>H62+H63+H64</f>
        <v>84519927</v>
      </c>
      <c r="I65" s="47">
        <f>I62+I63+I64</f>
        <v>9765.699999999999</v>
      </c>
      <c r="J65" s="48">
        <f>J62+J63+J64</f>
        <v>95479876</v>
      </c>
      <c r="K65" s="30"/>
      <c r="L65" s="47">
        <f>L62+L63+L64</f>
        <v>10132.1</v>
      </c>
      <c r="M65" s="48">
        <f>M62+M63+M64</f>
        <v>102838441</v>
      </c>
      <c r="O65" s="181"/>
    </row>
    <row r="66" spans="1:15" ht="12">
      <c r="A66" s="11">
        <v>21</v>
      </c>
      <c r="C66" s="12" t="s">
        <v>220</v>
      </c>
      <c r="D66" s="29" t="s">
        <v>245</v>
      </c>
      <c r="E66" s="11">
        <v>21</v>
      </c>
      <c r="G66" s="47">
        <v>0</v>
      </c>
      <c r="H66" s="48">
        <f>+H337</f>
        <v>4169166</v>
      </c>
      <c r="I66" s="47">
        <v>0</v>
      </c>
      <c r="J66" s="48">
        <f>+J337</f>
        <v>4136566</v>
      </c>
      <c r="K66" s="30"/>
      <c r="L66" s="47">
        <v>0</v>
      </c>
      <c r="M66" s="48">
        <f>+M337</f>
        <v>5880007</v>
      </c>
      <c r="O66" s="181"/>
    </row>
    <row r="67" spans="1:13" ht="12">
      <c r="A67" s="11">
        <v>22</v>
      </c>
      <c r="C67" s="34"/>
      <c r="E67" s="11">
        <v>22</v>
      </c>
      <c r="F67" s="21" t="s">
        <v>1</v>
      </c>
      <c r="G67" s="21"/>
      <c r="H67" s="21"/>
      <c r="I67" s="22"/>
      <c r="J67" s="23"/>
      <c r="K67" s="32"/>
      <c r="L67" s="22"/>
      <c r="M67" s="23"/>
    </row>
    <row r="68" spans="1:13" ht="12">
      <c r="A68" s="11">
        <v>23</v>
      </c>
      <c r="C68" s="7" t="s">
        <v>187</v>
      </c>
      <c r="D68" s="35"/>
      <c r="E68" s="11">
        <v>23</v>
      </c>
      <c r="F68" s="36"/>
      <c r="G68" s="47"/>
      <c r="H68" s="48">
        <f>H59+H65+H66</f>
        <v>100582178</v>
      </c>
      <c r="I68" s="48"/>
      <c r="J68" s="48">
        <f>J59+J65+J66</f>
        <v>113958100</v>
      </c>
      <c r="K68" s="48"/>
      <c r="L68" s="48"/>
      <c r="M68" s="48">
        <f>M59+M65+M66</f>
        <v>124131845</v>
      </c>
    </row>
    <row r="69" spans="1:8" ht="12">
      <c r="A69" s="11">
        <v>24</v>
      </c>
      <c r="C69" s="34"/>
      <c r="D69" s="12"/>
      <c r="E69" s="11">
        <v>24</v>
      </c>
      <c r="H69" s="48"/>
    </row>
    <row r="70" spans="1:13" ht="12">
      <c r="A70" s="11">
        <v>25</v>
      </c>
      <c r="C70" s="12" t="s">
        <v>199</v>
      </c>
      <c r="D70" s="29" t="s">
        <v>247</v>
      </c>
      <c r="E70" s="11">
        <v>25</v>
      </c>
      <c r="G70" s="47"/>
      <c r="H70" s="48">
        <f>+H376</f>
        <v>8573034</v>
      </c>
      <c r="I70" s="47"/>
      <c r="J70" s="48">
        <f>+J376</f>
        <v>9525950</v>
      </c>
      <c r="K70" s="30"/>
      <c r="L70" s="47"/>
      <c r="M70" s="48">
        <f>+M376</f>
        <v>8145701</v>
      </c>
    </row>
    <row r="71" spans="1:13" ht="12">
      <c r="A71" s="7">
        <v>26</v>
      </c>
      <c r="E71" s="7">
        <v>26</v>
      </c>
      <c r="F71" s="21" t="s">
        <v>1</v>
      </c>
      <c r="G71" s="21"/>
      <c r="H71" s="21"/>
      <c r="I71" s="22"/>
      <c r="J71" s="23"/>
      <c r="K71" s="32"/>
      <c r="L71" s="22"/>
      <c r="M71" s="23"/>
    </row>
    <row r="72" spans="1:13" ht="15.75" customHeight="1">
      <c r="A72" s="11">
        <v>27</v>
      </c>
      <c r="C72" s="12" t="s">
        <v>233</v>
      </c>
      <c r="E72" s="11">
        <v>27</v>
      </c>
      <c r="F72" s="5"/>
      <c r="G72" s="47"/>
      <c r="H72" s="48">
        <f>SUM(H68,H70)</f>
        <v>109155212</v>
      </c>
      <c r="I72" s="47"/>
      <c r="J72" s="48">
        <f>SUM(J68,J70)</f>
        <v>123484050</v>
      </c>
      <c r="K72" s="31"/>
      <c r="L72" s="47"/>
      <c r="M72" s="48">
        <f>SUM(M68,M70)</f>
        <v>132277546</v>
      </c>
    </row>
    <row r="73" spans="1:13" ht="12">
      <c r="A73" s="11"/>
      <c r="C73" s="12"/>
      <c r="E73" s="11"/>
      <c r="F73" s="5"/>
      <c r="G73" s="31"/>
      <c r="H73" s="180">
        <f>H72-H54</f>
        <v>0</v>
      </c>
      <c r="I73" s="31"/>
      <c r="J73" s="180"/>
      <c r="K73" s="31"/>
      <c r="L73" s="31"/>
      <c r="M73" s="180">
        <f>M72-M54</f>
        <v>0</v>
      </c>
    </row>
    <row r="74" spans="3:13" ht="12">
      <c r="C74" s="7" t="s">
        <v>91</v>
      </c>
      <c r="D74" s="29"/>
      <c r="F74" s="21"/>
      <c r="G74" s="21"/>
      <c r="H74" s="146">
        <f>+H317</f>
        <v>12233800</v>
      </c>
      <c r="I74" s="22"/>
      <c r="J74" s="9">
        <f>14387240+763282</f>
        <v>15150522</v>
      </c>
      <c r="K74" s="32"/>
      <c r="L74" s="22"/>
      <c r="M74" s="175">
        <f>17615950+850603</f>
        <v>18466553</v>
      </c>
    </row>
    <row r="75" spans="4:13" ht="12">
      <c r="D75" s="29"/>
      <c r="F75" s="21"/>
      <c r="G75" s="21"/>
      <c r="H75" s="21"/>
      <c r="I75" s="22"/>
      <c r="K75" s="32"/>
      <c r="L75" s="22"/>
      <c r="M75" s="23"/>
    </row>
    <row r="76" ht="12">
      <c r="E76" s="50"/>
    </row>
    <row r="77" spans="1:15" ht="12">
      <c r="A77" s="19" t="str">
        <f>$A$36</f>
        <v>Institution No.:  GFD</v>
      </c>
      <c r="E77" s="50"/>
      <c r="I77" s="17"/>
      <c r="J77" s="55"/>
      <c r="L77" s="17"/>
      <c r="M77" s="18" t="s">
        <v>117</v>
      </c>
      <c r="N77" s="5"/>
      <c r="O77" s="59"/>
    </row>
    <row r="78" spans="1:15" s="46" customFormat="1" ht="12">
      <c r="A78" s="262" t="s">
        <v>118</v>
      </c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60"/>
      <c r="O78" s="61"/>
    </row>
    <row r="79" spans="1:15" ht="12">
      <c r="A79" s="19" t="s">
        <v>664</v>
      </c>
      <c r="C79" s="7" t="s">
        <v>665</v>
      </c>
      <c r="J79" s="55"/>
      <c r="L79" s="17"/>
      <c r="M79" s="20" t="str">
        <f>$M$3</f>
        <v>Date: 10/1/2008</v>
      </c>
      <c r="N79" s="5"/>
      <c r="O79" s="59"/>
    </row>
    <row r="80" spans="1:13" ht="12">
      <c r="A80" s="21" t="s">
        <v>1</v>
      </c>
      <c r="B80" s="21" t="s">
        <v>1</v>
      </c>
      <c r="C80" s="21" t="s">
        <v>1</v>
      </c>
      <c r="D80" s="21" t="s">
        <v>1</v>
      </c>
      <c r="E80" s="21" t="s">
        <v>1</v>
      </c>
      <c r="F80" s="21" t="s">
        <v>1</v>
      </c>
      <c r="G80" s="21"/>
      <c r="H80" s="21"/>
      <c r="I80" s="22" t="s">
        <v>1</v>
      </c>
      <c r="J80" s="23" t="s">
        <v>1</v>
      </c>
      <c r="K80" s="21" t="s">
        <v>1</v>
      </c>
      <c r="L80" s="22" t="s">
        <v>1</v>
      </c>
      <c r="M80" s="23" t="s">
        <v>1</v>
      </c>
    </row>
    <row r="81" spans="1:13" ht="12">
      <c r="A81" s="24" t="s">
        <v>2</v>
      </c>
      <c r="E81" s="24" t="s">
        <v>2</v>
      </c>
      <c r="G81" s="25"/>
      <c r="H81" s="25" t="s">
        <v>249</v>
      </c>
      <c r="I81" s="26"/>
      <c r="J81" s="27" t="s">
        <v>251</v>
      </c>
      <c r="K81" s="25"/>
      <c r="L81" s="26"/>
      <c r="M81" s="27" t="s">
        <v>260</v>
      </c>
    </row>
    <row r="82" spans="1:13" ht="12">
      <c r="A82" s="24" t="s">
        <v>4</v>
      </c>
      <c r="E82" s="24" t="s">
        <v>4</v>
      </c>
      <c r="G82" s="25"/>
      <c r="H82" s="25" t="s">
        <v>7</v>
      </c>
      <c r="I82" s="26"/>
      <c r="J82" s="27" t="s">
        <v>7</v>
      </c>
      <c r="K82" s="25"/>
      <c r="L82" s="26"/>
      <c r="M82" s="27" t="s">
        <v>8</v>
      </c>
    </row>
    <row r="83" spans="1:13" ht="12">
      <c r="A83" s="21" t="s">
        <v>1</v>
      </c>
      <c r="B83" s="21" t="s">
        <v>1</v>
      </c>
      <c r="C83" s="21" t="s">
        <v>1</v>
      </c>
      <c r="D83" s="21" t="s">
        <v>1</v>
      </c>
      <c r="E83" s="21" t="s">
        <v>1</v>
      </c>
      <c r="F83" s="21" t="s">
        <v>1</v>
      </c>
      <c r="G83" s="21"/>
      <c r="H83" s="21"/>
      <c r="I83" s="22" t="s">
        <v>1</v>
      </c>
      <c r="J83" s="23" t="s">
        <v>1</v>
      </c>
      <c r="K83" s="21" t="s">
        <v>1</v>
      </c>
      <c r="L83" s="22" t="s">
        <v>1</v>
      </c>
      <c r="M83" s="23" t="s">
        <v>1</v>
      </c>
    </row>
    <row r="84" spans="1:13" ht="12">
      <c r="A84" s="11">
        <v>1</v>
      </c>
      <c r="C84" s="12" t="s">
        <v>119</v>
      </c>
      <c r="E84" s="11">
        <v>1</v>
      </c>
      <c r="H84" s="30"/>
      <c r="I84" s="17"/>
      <c r="J84" s="30"/>
      <c r="L84" s="17"/>
      <c r="M84" s="30"/>
    </row>
    <row r="85" spans="1:13" ht="12">
      <c r="A85" s="29" t="s">
        <v>207</v>
      </c>
      <c r="C85" s="12" t="s">
        <v>210</v>
      </c>
      <c r="E85" s="29" t="s">
        <v>207</v>
      </c>
      <c r="F85" s="36"/>
      <c r="G85" s="36"/>
      <c r="H85" s="62"/>
      <c r="I85" s="62"/>
      <c r="J85" s="63"/>
      <c r="K85" s="62"/>
      <c r="L85" s="62"/>
      <c r="M85" s="63"/>
    </row>
    <row r="86" spans="1:13" ht="12">
      <c r="A86" s="29" t="s">
        <v>208</v>
      </c>
      <c r="C86" s="12" t="s">
        <v>211</v>
      </c>
      <c r="E86" s="29" t="s">
        <v>208</v>
      </c>
      <c r="F86" s="36"/>
      <c r="G86" s="36"/>
      <c r="H86" s="63"/>
      <c r="I86" s="62"/>
      <c r="J86" s="63"/>
      <c r="K86" s="62"/>
      <c r="L86" s="62"/>
      <c r="M86" s="63">
        <v>0</v>
      </c>
    </row>
    <row r="87" spans="1:13" ht="12">
      <c r="A87" s="29" t="s">
        <v>209</v>
      </c>
      <c r="C87" s="12" t="s">
        <v>212</v>
      </c>
      <c r="E87" s="29" t="s">
        <v>209</v>
      </c>
      <c r="F87" s="36"/>
      <c r="G87" s="36"/>
      <c r="H87" s="63">
        <v>6106.8</v>
      </c>
      <c r="I87" s="62"/>
      <c r="J87" s="63">
        <v>6361.3</v>
      </c>
      <c r="K87" s="62"/>
      <c r="L87" s="62"/>
      <c r="M87" s="63">
        <v>6642.5</v>
      </c>
    </row>
    <row r="88" spans="1:13" ht="12">
      <c r="A88" s="11">
        <v>3</v>
      </c>
      <c r="C88" s="12" t="s">
        <v>120</v>
      </c>
      <c r="E88" s="11">
        <v>3</v>
      </c>
      <c r="F88" s="36"/>
      <c r="G88" s="36"/>
      <c r="H88" s="63">
        <v>2099.2</v>
      </c>
      <c r="I88" s="62"/>
      <c r="J88" s="63">
        <v>2123.1</v>
      </c>
      <c r="K88" s="62"/>
      <c r="L88" s="62"/>
      <c r="M88" s="63">
        <v>2098</v>
      </c>
    </row>
    <row r="89" spans="1:13" ht="12">
      <c r="A89" s="11">
        <v>4</v>
      </c>
      <c r="C89" s="12" t="s">
        <v>121</v>
      </c>
      <c r="E89" s="11">
        <v>4</v>
      </c>
      <c r="F89" s="36"/>
      <c r="G89" s="36"/>
      <c r="H89" s="63">
        <f>SUM(H87:H88)</f>
        <v>8206</v>
      </c>
      <c r="I89" s="62"/>
      <c r="J89" s="63">
        <f>SUM(J87:J88)</f>
        <v>8484.4</v>
      </c>
      <c r="K89" s="62"/>
      <c r="L89" s="62"/>
      <c r="M89" s="63">
        <f>SUM(M87:M88)</f>
        <v>8740.5</v>
      </c>
    </row>
    <row r="90" spans="1:13" ht="12">
      <c r="A90" s="11">
        <v>5</v>
      </c>
      <c r="E90" s="11">
        <v>5</v>
      </c>
      <c r="F90" s="36"/>
      <c r="G90" s="36"/>
      <c r="H90" s="63"/>
      <c r="I90" s="62"/>
      <c r="J90" s="63"/>
      <c r="K90" s="62"/>
      <c r="L90" s="62"/>
      <c r="M90" s="63"/>
    </row>
    <row r="91" spans="1:13" ht="12">
      <c r="A91" s="11">
        <v>6</v>
      </c>
      <c r="C91" s="12" t="s">
        <v>122</v>
      </c>
      <c r="E91" s="11">
        <v>6</v>
      </c>
      <c r="F91" s="36"/>
      <c r="G91" s="36"/>
      <c r="H91" s="63">
        <v>382.9</v>
      </c>
      <c r="I91" s="62"/>
      <c r="J91" s="63">
        <v>492.9</v>
      </c>
      <c r="K91" s="62"/>
      <c r="L91" s="62"/>
      <c r="M91" s="63">
        <v>553.9</v>
      </c>
    </row>
    <row r="92" spans="1:13" ht="12">
      <c r="A92" s="11">
        <v>7</v>
      </c>
      <c r="C92" s="12" t="s">
        <v>123</v>
      </c>
      <c r="E92" s="11">
        <v>7</v>
      </c>
      <c r="F92" s="36"/>
      <c r="G92" s="36"/>
      <c r="H92" s="63">
        <v>255.2</v>
      </c>
      <c r="I92" s="62"/>
      <c r="J92" s="63">
        <v>295.5</v>
      </c>
      <c r="K92" s="62"/>
      <c r="L92" s="62"/>
      <c r="M92" s="63">
        <v>283.8</v>
      </c>
    </row>
    <row r="93" spans="1:13" ht="12">
      <c r="A93" s="11">
        <v>8</v>
      </c>
      <c r="C93" s="12" t="s">
        <v>124</v>
      </c>
      <c r="E93" s="11">
        <v>8</v>
      </c>
      <c r="F93" s="36"/>
      <c r="G93" s="36"/>
      <c r="H93" s="63">
        <f>SUM(H91:H92)</f>
        <v>638.0999999999999</v>
      </c>
      <c r="I93" s="62"/>
      <c r="J93" s="63">
        <f>SUM(J91:J92)</f>
        <v>788.4</v>
      </c>
      <c r="K93" s="62"/>
      <c r="L93" s="62"/>
      <c r="M93" s="63">
        <f>SUM(M91:M92)</f>
        <v>837.7</v>
      </c>
    </row>
    <row r="94" spans="1:13" ht="12">
      <c r="A94" s="11">
        <v>9</v>
      </c>
      <c r="E94" s="11">
        <v>9</v>
      </c>
      <c r="F94" s="36"/>
      <c r="G94" s="36"/>
      <c r="H94" s="63"/>
      <c r="I94" s="62"/>
      <c r="J94" s="63"/>
      <c r="K94" s="62"/>
      <c r="L94" s="62"/>
      <c r="M94" s="63"/>
    </row>
    <row r="95" spans="1:13" ht="12">
      <c r="A95" s="11">
        <v>10</v>
      </c>
      <c r="C95" s="12" t="s">
        <v>125</v>
      </c>
      <c r="E95" s="11">
        <v>10</v>
      </c>
      <c r="F95" s="36"/>
      <c r="G95" s="36"/>
      <c r="H95" s="63">
        <f>H87+H91</f>
        <v>6489.7</v>
      </c>
      <c r="I95" s="62"/>
      <c r="J95" s="63">
        <f>J87+J91</f>
        <v>6854.2</v>
      </c>
      <c r="K95" s="62"/>
      <c r="L95" s="62"/>
      <c r="M95" s="63">
        <f>M87+M91</f>
        <v>7196.4</v>
      </c>
    </row>
    <row r="96" spans="1:13" ht="12">
      <c r="A96" s="11">
        <v>11</v>
      </c>
      <c r="C96" s="12" t="s">
        <v>126</v>
      </c>
      <c r="E96" s="11">
        <v>11</v>
      </c>
      <c r="F96" s="36"/>
      <c r="G96" s="36"/>
      <c r="H96" s="63">
        <f>H88+H92</f>
        <v>2354.3999999999996</v>
      </c>
      <c r="I96" s="62"/>
      <c r="J96" s="63">
        <f>J88+J92</f>
        <v>2418.6</v>
      </c>
      <c r="K96" s="62"/>
      <c r="L96" s="62"/>
      <c r="M96" s="63">
        <f>M88+M92</f>
        <v>2381.8</v>
      </c>
    </row>
    <row r="97" spans="1:13" ht="12">
      <c r="A97" s="11">
        <v>12</v>
      </c>
      <c r="C97" s="12" t="s">
        <v>127</v>
      </c>
      <c r="E97" s="11">
        <v>12</v>
      </c>
      <c r="F97" s="36"/>
      <c r="G97" s="36"/>
      <c r="H97" s="63">
        <f>H95+H96</f>
        <v>8844.099999999999</v>
      </c>
      <c r="I97" s="62"/>
      <c r="J97" s="63">
        <f>J95+J96</f>
        <v>9272.8</v>
      </c>
      <c r="K97" s="62"/>
      <c r="L97" s="62"/>
      <c r="M97" s="63">
        <f>M95+M96</f>
        <v>9578.2</v>
      </c>
    </row>
    <row r="98" spans="1:13" ht="12">
      <c r="A98" s="11">
        <v>13</v>
      </c>
      <c r="E98" s="11">
        <v>13</v>
      </c>
      <c r="H98" s="64"/>
      <c r="I98" s="62"/>
      <c r="J98" s="64"/>
      <c r="K98" s="65"/>
      <c r="L98" s="62"/>
      <c r="M98" s="64"/>
    </row>
    <row r="99" spans="1:13" ht="12">
      <c r="A99" s="11">
        <v>15</v>
      </c>
      <c r="C99" s="12" t="s">
        <v>128</v>
      </c>
      <c r="E99" s="11">
        <v>15</v>
      </c>
      <c r="H99" s="66"/>
      <c r="I99" s="62"/>
      <c r="J99" s="66"/>
      <c r="K99" s="65"/>
      <c r="L99" s="62"/>
      <c r="M99" s="66"/>
    </row>
    <row r="100" spans="1:13" ht="12">
      <c r="A100" s="11">
        <v>16</v>
      </c>
      <c r="C100" s="12" t="s">
        <v>188</v>
      </c>
      <c r="E100" s="11">
        <v>16</v>
      </c>
      <c r="H100" s="64">
        <f>(H72-H369)/H97</f>
        <v>11457.530330955102</v>
      </c>
      <c r="I100" s="62"/>
      <c r="J100" s="64">
        <f>(J72-J369)/J97</f>
        <v>12290.034293848677</v>
      </c>
      <c r="K100" s="65"/>
      <c r="L100" s="62"/>
      <c r="M100" s="64">
        <f>(M72-M369)/M97</f>
        <v>13017.497442108119</v>
      </c>
    </row>
    <row r="101" spans="1:13" ht="12">
      <c r="A101" s="11">
        <v>17</v>
      </c>
      <c r="C101" s="12" t="s">
        <v>250</v>
      </c>
      <c r="E101" s="11">
        <v>17</v>
      </c>
      <c r="H101" s="64">
        <v>2580</v>
      </c>
      <c r="I101" s="62"/>
      <c r="J101" s="65">
        <v>2670</v>
      </c>
      <c r="K101" s="65"/>
      <c r="L101" s="62"/>
      <c r="M101" s="65">
        <v>2760</v>
      </c>
    </row>
    <row r="102" spans="1:13" ht="12">
      <c r="A102" s="11">
        <v>18</v>
      </c>
      <c r="E102" s="11">
        <v>18</v>
      </c>
      <c r="H102" s="64"/>
      <c r="I102" s="62"/>
      <c r="J102" s="65"/>
      <c r="K102" s="65"/>
      <c r="L102" s="62"/>
      <c r="M102" s="65"/>
    </row>
    <row r="103" spans="1:13" ht="12">
      <c r="A103" s="7">
        <v>19</v>
      </c>
      <c r="C103" s="12" t="s">
        <v>129</v>
      </c>
      <c r="E103" s="7">
        <v>19</v>
      </c>
      <c r="H103" s="64"/>
      <c r="I103" s="62"/>
      <c r="J103" s="65"/>
      <c r="K103" s="65"/>
      <c r="L103" s="62"/>
      <c r="M103" s="65"/>
    </row>
    <row r="104" spans="1:13" ht="12">
      <c r="A104" s="11">
        <v>20</v>
      </c>
      <c r="C104" s="12" t="s">
        <v>130</v>
      </c>
      <c r="E104" s="11">
        <v>20</v>
      </c>
      <c r="F104" s="13"/>
      <c r="G104" s="13"/>
      <c r="H104" s="67">
        <f>G498</f>
        <v>686.88</v>
      </c>
      <c r="I104" s="2"/>
      <c r="J104" s="67">
        <f>I498</f>
        <v>671.2057159545577</v>
      </c>
      <c r="K104" s="2"/>
      <c r="L104" s="2"/>
      <c r="M104" s="67">
        <f>L498</f>
        <v>718.84</v>
      </c>
    </row>
    <row r="105" spans="1:13" ht="12">
      <c r="A105" s="11">
        <v>21</v>
      </c>
      <c r="C105" s="12" t="s">
        <v>131</v>
      </c>
      <c r="E105" s="11">
        <v>21</v>
      </c>
      <c r="F105" s="13"/>
      <c r="G105" s="13"/>
      <c r="H105" s="67">
        <f>G495</f>
        <v>478.53</v>
      </c>
      <c r="I105" s="2"/>
      <c r="J105" s="67">
        <f>I495</f>
        <v>514.4645074721111</v>
      </c>
      <c r="K105" s="2"/>
      <c r="L105" s="2"/>
      <c r="M105" s="67">
        <f>L495</f>
        <v>529.82</v>
      </c>
    </row>
    <row r="106" spans="1:13" ht="12">
      <c r="A106" s="11">
        <v>22</v>
      </c>
      <c r="C106" s="12" t="s">
        <v>132</v>
      </c>
      <c r="E106" s="11">
        <v>22</v>
      </c>
      <c r="F106" s="13"/>
      <c r="G106" s="13"/>
      <c r="H106" s="67">
        <f>G497</f>
        <v>208.35</v>
      </c>
      <c r="I106" s="2"/>
      <c r="J106" s="67">
        <f>I497</f>
        <v>156.74120848244655</v>
      </c>
      <c r="K106" s="2"/>
      <c r="L106" s="2"/>
      <c r="M106" s="67">
        <f>L497</f>
        <v>189.02</v>
      </c>
    </row>
    <row r="107" spans="1:13" ht="12">
      <c r="A107" s="11">
        <v>23</v>
      </c>
      <c r="E107" s="11">
        <v>23</v>
      </c>
      <c r="F107" s="13"/>
      <c r="G107" s="13"/>
      <c r="H107" s="2"/>
      <c r="I107" s="2"/>
      <c r="J107" s="67"/>
      <c r="K107" s="2"/>
      <c r="L107" s="2"/>
      <c r="M107" s="2"/>
    </row>
    <row r="108" spans="1:13" ht="12">
      <c r="A108" s="11">
        <v>24</v>
      </c>
      <c r="C108" s="12" t="s">
        <v>133</v>
      </c>
      <c r="E108" s="11">
        <v>24</v>
      </c>
      <c r="F108" s="13"/>
      <c r="G108" s="13"/>
      <c r="H108" s="2"/>
      <c r="I108" s="2"/>
      <c r="J108" s="2"/>
      <c r="K108" s="2"/>
      <c r="L108" s="2"/>
      <c r="M108" s="2"/>
    </row>
    <row r="109" spans="1:13" ht="12">
      <c r="A109" s="11">
        <v>25</v>
      </c>
      <c r="C109" s="12" t="s">
        <v>134</v>
      </c>
      <c r="E109" s="11">
        <v>25</v>
      </c>
      <c r="H109" s="65">
        <f>IF(G498=0,0,H498/G498)</f>
        <v>72749.86751688796</v>
      </c>
      <c r="I109" s="62"/>
      <c r="J109" s="65">
        <f>IF(I498=0,0,J498/I498)</f>
        <v>80141.50762035795</v>
      </c>
      <c r="K109" s="65"/>
      <c r="L109" s="62"/>
      <c r="M109" s="65">
        <f>IF(L498=0,0,M498/L498)</f>
        <v>81914.42184630793</v>
      </c>
    </row>
    <row r="110" spans="1:13" ht="12">
      <c r="A110" s="11">
        <v>26</v>
      </c>
      <c r="C110" s="12" t="s">
        <v>135</v>
      </c>
      <c r="E110" s="11">
        <v>26</v>
      </c>
      <c r="H110" s="65">
        <f>IF(H105=0,0,(H495+H496)/H105)</f>
        <v>90404.90878314839</v>
      </c>
      <c r="I110" s="62"/>
      <c r="J110" s="65">
        <f>IF(J105=0,0,(J495+J496)/J105)</f>
        <v>94256.96096757213</v>
      </c>
      <c r="K110" s="65"/>
      <c r="L110" s="62"/>
      <c r="M110" s="65">
        <f>IF(M105=0,0,(M495+M496)/M105)</f>
        <v>98472.33400022649</v>
      </c>
    </row>
    <row r="111" spans="1:13" ht="12">
      <c r="A111" s="11">
        <v>27</v>
      </c>
      <c r="C111" s="12" t="s">
        <v>136</v>
      </c>
      <c r="E111" s="11">
        <v>27</v>
      </c>
      <c r="H111" s="65">
        <f>IF(H106=0,0,H497/H106)</f>
        <v>32200.470362371012</v>
      </c>
      <c r="I111" s="62"/>
      <c r="J111" s="65">
        <f>IF(J106=0,0,J497/J106)</f>
        <v>33811</v>
      </c>
      <c r="K111" s="65"/>
      <c r="L111" s="62"/>
      <c r="M111" s="65">
        <f>IF(M106=0,0,M497/M106)</f>
        <v>35502.86213099143</v>
      </c>
    </row>
    <row r="112" spans="1:13" ht="12">
      <c r="A112" s="11">
        <v>28</v>
      </c>
      <c r="E112" s="11">
        <v>28</v>
      </c>
      <c r="H112" s="65"/>
      <c r="I112" s="62"/>
      <c r="J112" s="65"/>
      <c r="K112" s="65"/>
      <c r="L112" s="62"/>
      <c r="M112" s="65"/>
    </row>
    <row r="113" spans="1:13" ht="12">
      <c r="A113" s="11">
        <v>29</v>
      </c>
      <c r="C113" s="12" t="s">
        <v>137</v>
      </c>
      <c r="E113" s="11">
        <v>29</v>
      </c>
      <c r="F113" s="68"/>
      <c r="G113" s="68"/>
      <c r="H113" s="63">
        <f>G54</f>
        <v>1080.99</v>
      </c>
      <c r="I113" s="62"/>
      <c r="J113" s="63">
        <f>I54</f>
        <v>1094.9521424864943</v>
      </c>
      <c r="K113" s="62"/>
      <c r="L113" s="62"/>
      <c r="M113" s="63">
        <f>L54</f>
        <v>1169.7531855377274</v>
      </c>
    </row>
    <row r="114" spans="1:13" ht="12">
      <c r="A114" s="12"/>
      <c r="J114" s="55"/>
      <c r="M114" s="55"/>
    </row>
    <row r="115" spans="1:13" ht="12">
      <c r="A115" s="12"/>
      <c r="J115" s="55"/>
      <c r="M115" s="55"/>
    </row>
    <row r="116" spans="1:13" ht="12">
      <c r="A116" s="12"/>
      <c r="J116" s="55"/>
      <c r="M116" s="55"/>
    </row>
    <row r="117" spans="1:13" ht="12">
      <c r="A117" s="12"/>
      <c r="J117" s="55"/>
      <c r="M117" s="55"/>
    </row>
    <row r="118" spans="1:13" ht="12">
      <c r="A118" s="12"/>
      <c r="J118" s="55"/>
      <c r="M118" s="55"/>
    </row>
    <row r="119" spans="1:13" ht="12">
      <c r="A119" s="12"/>
      <c r="J119" s="55"/>
      <c r="M119" s="55"/>
    </row>
    <row r="120" spans="1:13" ht="12">
      <c r="A120" s="12"/>
      <c r="J120" s="55"/>
      <c r="M120" s="55"/>
    </row>
    <row r="121" spans="1:13" ht="12">
      <c r="A121" s="12"/>
      <c r="J121" s="55"/>
      <c r="M121" s="55"/>
    </row>
    <row r="122" spans="1:13" ht="12">
      <c r="A122" s="12"/>
      <c r="J122" s="55"/>
      <c r="M122" s="55"/>
    </row>
    <row r="123" spans="1:13" ht="12">
      <c r="A123" s="12"/>
      <c r="J123" s="55"/>
      <c r="M123" s="55"/>
    </row>
    <row r="124" spans="1:13" ht="12">
      <c r="A124" s="12"/>
      <c r="J124" s="55"/>
      <c r="M124" s="55"/>
    </row>
    <row r="125" spans="1:13" ht="12">
      <c r="A125" s="12"/>
      <c r="J125" s="55"/>
      <c r="M125" s="55"/>
    </row>
    <row r="126" spans="5:15" ht="12">
      <c r="E126" s="50"/>
      <c r="I126" s="17"/>
      <c r="J126" s="55"/>
      <c r="K126" s="5"/>
      <c r="M126" s="55"/>
      <c r="O126" s="59"/>
    </row>
    <row r="127" spans="1:15" ht="12">
      <c r="A127" s="19" t="str">
        <f>$A$36</f>
        <v>Institution No.:  GFD</v>
      </c>
      <c r="E127" s="50"/>
      <c r="I127" s="17"/>
      <c r="J127" s="55"/>
      <c r="L127" s="17"/>
      <c r="M127" s="18" t="s">
        <v>138</v>
      </c>
      <c r="N127" s="5"/>
      <c r="O127" s="59"/>
    </row>
    <row r="128" spans="1:15" s="46" customFormat="1" ht="12">
      <c r="A128" s="262" t="s">
        <v>161</v>
      </c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60"/>
      <c r="O128" s="61"/>
    </row>
    <row r="129" spans="1:15" ht="12">
      <c r="A129" s="19" t="s">
        <v>664</v>
      </c>
      <c r="C129" s="7" t="s">
        <v>665</v>
      </c>
      <c r="J129" s="55"/>
      <c r="L129" s="17"/>
      <c r="M129" s="20" t="str">
        <f>$M$3</f>
        <v>Date: 10/1/2008</v>
      </c>
      <c r="N129" s="5"/>
      <c r="O129" s="59"/>
    </row>
    <row r="130" spans="1:13" ht="12">
      <c r="A130" s="21" t="s">
        <v>1</v>
      </c>
      <c r="B130" s="21" t="s">
        <v>1</v>
      </c>
      <c r="C130" s="21" t="s">
        <v>1</v>
      </c>
      <c r="D130" s="21" t="s">
        <v>1</v>
      </c>
      <c r="E130" s="21" t="s">
        <v>1</v>
      </c>
      <c r="F130" s="21" t="s">
        <v>1</v>
      </c>
      <c r="G130" s="21"/>
      <c r="H130" s="21"/>
      <c r="I130" s="22" t="s">
        <v>1</v>
      </c>
      <c r="J130" s="23" t="s">
        <v>1</v>
      </c>
      <c r="K130" s="21" t="s">
        <v>1</v>
      </c>
      <c r="L130" s="22" t="s">
        <v>1</v>
      </c>
      <c r="M130" s="23" t="s">
        <v>1</v>
      </c>
    </row>
    <row r="131" spans="1:13" ht="12">
      <c r="A131" s="24" t="s">
        <v>2</v>
      </c>
      <c r="E131" s="24" t="s">
        <v>2</v>
      </c>
      <c r="H131" s="25" t="s">
        <v>249</v>
      </c>
      <c r="I131" s="26"/>
      <c r="J131" s="27" t="s">
        <v>251</v>
      </c>
      <c r="K131" s="25"/>
      <c r="L131" s="26"/>
      <c r="M131" s="27" t="s">
        <v>260</v>
      </c>
    </row>
    <row r="132" spans="1:13" ht="12">
      <c r="A132" s="24" t="s">
        <v>4</v>
      </c>
      <c r="C132" s="12" t="s">
        <v>0</v>
      </c>
      <c r="E132" s="24" t="s">
        <v>4</v>
      </c>
      <c r="H132" s="25" t="s">
        <v>7</v>
      </c>
      <c r="I132" s="26"/>
      <c r="J132" s="27" t="s">
        <v>7</v>
      </c>
      <c r="K132" s="25"/>
      <c r="L132" s="26"/>
      <c r="M132" s="27" t="s">
        <v>8</v>
      </c>
    </row>
    <row r="133" spans="1:13" ht="12">
      <c r="A133" s="21" t="s">
        <v>1</v>
      </c>
      <c r="B133" s="21" t="s">
        <v>1</v>
      </c>
      <c r="C133" s="21" t="s">
        <v>1</v>
      </c>
      <c r="D133" s="21" t="s">
        <v>1</v>
      </c>
      <c r="E133" s="21" t="s">
        <v>1</v>
      </c>
      <c r="F133" s="21" t="s">
        <v>1</v>
      </c>
      <c r="G133" s="21"/>
      <c r="H133" s="21"/>
      <c r="I133" s="22" t="s">
        <v>1</v>
      </c>
      <c r="J133" s="23" t="s">
        <v>1</v>
      </c>
      <c r="K133" s="21" t="s">
        <v>1</v>
      </c>
      <c r="L133" s="22" t="s">
        <v>1</v>
      </c>
      <c r="M133" s="23" t="s">
        <v>1</v>
      </c>
    </row>
    <row r="134" spans="1:13" ht="12">
      <c r="A134" s="11">
        <v>1</v>
      </c>
      <c r="C134" s="12" t="s">
        <v>139</v>
      </c>
      <c r="E134" s="11">
        <v>1</v>
      </c>
      <c r="H134" s="65"/>
      <c r="I134" s="62"/>
      <c r="J134" s="62"/>
      <c r="K134" s="65"/>
      <c r="L134" s="69"/>
      <c r="M134" s="163"/>
    </row>
    <row r="135" spans="1:13" ht="12">
      <c r="A135" s="11">
        <f aca="true" t="shared" si="1" ref="A135:A161">(A134+1)</f>
        <v>2</v>
      </c>
      <c r="C135" s="12" t="s">
        <v>140</v>
      </c>
      <c r="E135" s="11">
        <f aca="true" t="shared" si="2" ref="E135:E161">(E134+1)</f>
        <v>2</v>
      </c>
      <c r="F135" s="36"/>
      <c r="G135" s="36"/>
      <c r="H135" s="62"/>
      <c r="I135" s="62"/>
      <c r="J135" s="62"/>
      <c r="K135" s="62"/>
      <c r="L135" s="69"/>
      <c r="M135" s="160"/>
    </row>
    <row r="136" spans="1:13" ht="12">
      <c r="A136" s="11">
        <f t="shared" si="1"/>
        <v>3</v>
      </c>
      <c r="C136" s="12" t="s">
        <v>594</v>
      </c>
      <c r="E136" s="11">
        <f t="shared" si="2"/>
        <v>3</v>
      </c>
      <c r="F136" s="36"/>
      <c r="G136" s="36"/>
      <c r="H136" s="62">
        <f>4330</f>
        <v>4330</v>
      </c>
      <c r="I136" s="62"/>
      <c r="J136" s="62">
        <f>(2527*2)</f>
        <v>5054</v>
      </c>
      <c r="K136" s="62"/>
      <c r="L136" s="69"/>
      <c r="M136" s="160">
        <f>(2742*2)</f>
        <v>5484</v>
      </c>
    </row>
    <row r="137" spans="1:13" ht="12">
      <c r="A137" s="11">
        <f t="shared" si="1"/>
        <v>4</v>
      </c>
      <c r="C137" s="12"/>
      <c r="E137" s="11">
        <f t="shared" si="2"/>
        <v>4</v>
      </c>
      <c r="F137" s="36"/>
      <c r="G137" s="36"/>
      <c r="H137" s="62"/>
      <c r="I137" s="62"/>
      <c r="J137" s="62"/>
      <c r="K137" s="62"/>
      <c r="L137" s="69"/>
      <c r="M137" s="160"/>
    </row>
    <row r="138" spans="1:13" ht="12">
      <c r="A138" s="11">
        <f t="shared" si="1"/>
        <v>5</v>
      </c>
      <c r="C138" s="7" t="s">
        <v>595</v>
      </c>
      <c r="E138" s="11">
        <f t="shared" si="2"/>
        <v>5</v>
      </c>
      <c r="F138" s="36"/>
      <c r="G138" s="36"/>
      <c r="H138" s="62">
        <f>4806</f>
        <v>4806</v>
      </c>
      <c r="I138" s="62"/>
      <c r="J138" s="62">
        <f>(2592*2)</f>
        <v>5184</v>
      </c>
      <c r="K138" s="62"/>
      <c r="L138" s="69"/>
      <c r="M138" s="160">
        <f>(2812*2)</f>
        <v>5624</v>
      </c>
    </row>
    <row r="139" spans="1:13" ht="12">
      <c r="A139" s="11">
        <f t="shared" si="1"/>
        <v>6</v>
      </c>
      <c r="C139" s="12"/>
      <c r="E139" s="11">
        <f t="shared" si="2"/>
        <v>6</v>
      </c>
      <c r="F139" s="36"/>
      <c r="G139" s="36"/>
      <c r="H139" s="62"/>
      <c r="I139" s="62"/>
      <c r="J139" s="62"/>
      <c r="K139" s="62"/>
      <c r="L139" s="69"/>
      <c r="M139" s="160"/>
    </row>
    <row r="140" spans="1:13" ht="12">
      <c r="A140" s="11">
        <f t="shared" si="1"/>
        <v>7</v>
      </c>
      <c r="C140" s="12" t="s">
        <v>0</v>
      </c>
      <c r="E140" s="11">
        <f t="shared" si="2"/>
        <v>7</v>
      </c>
      <c r="F140" s="36"/>
      <c r="G140" s="36"/>
      <c r="H140" s="62"/>
      <c r="I140" s="62"/>
      <c r="J140" s="62"/>
      <c r="K140" s="62"/>
      <c r="L140" s="69"/>
      <c r="M140" s="182" t="s">
        <v>0</v>
      </c>
    </row>
    <row r="141" spans="1:13" ht="12">
      <c r="A141" s="11">
        <f t="shared" si="1"/>
        <v>8</v>
      </c>
      <c r="E141" s="11">
        <f t="shared" si="2"/>
        <v>8</v>
      </c>
      <c r="H141" s="65"/>
      <c r="I141" s="62"/>
      <c r="J141" s="62"/>
      <c r="K141" s="65"/>
      <c r="L141" s="69"/>
      <c r="M141" s="160"/>
    </row>
    <row r="142" spans="1:13" ht="12">
      <c r="A142" s="11">
        <f t="shared" si="1"/>
        <v>9</v>
      </c>
      <c r="C142" s="12" t="s">
        <v>0</v>
      </c>
      <c r="E142" s="11">
        <f t="shared" si="2"/>
        <v>9</v>
      </c>
      <c r="H142" s="65"/>
      <c r="I142" s="62"/>
      <c r="J142" s="62"/>
      <c r="K142" s="65"/>
      <c r="L142" s="69"/>
      <c r="M142" s="160"/>
    </row>
    <row r="143" spans="1:13" ht="12">
      <c r="A143" s="11">
        <f t="shared" si="1"/>
        <v>10</v>
      </c>
      <c r="C143" s="12" t="s">
        <v>0</v>
      </c>
      <c r="E143" s="11">
        <f t="shared" si="2"/>
        <v>10</v>
      </c>
      <c r="H143" s="65"/>
      <c r="I143" s="62"/>
      <c r="J143" s="62"/>
      <c r="K143" s="65"/>
      <c r="L143" s="69"/>
      <c r="M143" s="160"/>
    </row>
    <row r="144" spans="1:13" ht="12">
      <c r="A144" s="11">
        <f t="shared" si="1"/>
        <v>11</v>
      </c>
      <c r="C144" s="12" t="s">
        <v>142</v>
      </c>
      <c r="E144" s="11">
        <f t="shared" si="2"/>
        <v>11</v>
      </c>
      <c r="H144" s="65"/>
      <c r="I144" s="62"/>
      <c r="J144" s="62"/>
      <c r="K144" s="65"/>
      <c r="L144" s="69"/>
      <c r="M144" s="160"/>
    </row>
    <row r="145" spans="1:13" ht="12">
      <c r="A145" s="11">
        <f t="shared" si="1"/>
        <v>12</v>
      </c>
      <c r="C145" s="12" t="s">
        <v>140</v>
      </c>
      <c r="E145" s="11">
        <f t="shared" si="2"/>
        <v>12</v>
      </c>
      <c r="H145" s="65"/>
      <c r="I145" s="62"/>
      <c r="J145" s="62"/>
      <c r="K145" s="65"/>
      <c r="L145" s="69"/>
      <c r="M145" s="160"/>
    </row>
    <row r="146" spans="1:13" ht="12">
      <c r="A146" s="11">
        <f t="shared" si="1"/>
        <v>13</v>
      </c>
      <c r="C146" s="12" t="s">
        <v>596</v>
      </c>
      <c r="E146" s="11">
        <f t="shared" si="2"/>
        <v>13</v>
      </c>
      <c r="H146" s="65">
        <v>6820</v>
      </c>
      <c r="I146" s="62"/>
      <c r="J146" s="62">
        <f>3478*2</f>
        <v>6956</v>
      </c>
      <c r="K146" s="65"/>
      <c r="L146" s="69"/>
      <c r="M146" s="160">
        <f>3565*2</f>
        <v>7130</v>
      </c>
    </row>
    <row r="147" spans="1:13" ht="12">
      <c r="A147" s="11">
        <f t="shared" si="1"/>
        <v>14</v>
      </c>
      <c r="C147" s="12" t="s">
        <v>597</v>
      </c>
      <c r="E147" s="11">
        <f t="shared" si="2"/>
        <v>14</v>
      </c>
      <c r="F147" s="13"/>
      <c r="G147" s="13"/>
      <c r="H147" s="2">
        <v>8222</v>
      </c>
      <c r="I147" s="2"/>
      <c r="J147" s="2">
        <f>4193*2</f>
        <v>8386</v>
      </c>
      <c r="K147" s="2"/>
      <c r="L147" s="71"/>
      <c r="M147" s="162">
        <f>4298*2</f>
        <v>8596</v>
      </c>
    </row>
    <row r="148" spans="1:13" ht="12">
      <c r="A148" s="11">
        <f t="shared" si="1"/>
        <v>15</v>
      </c>
      <c r="C148" s="12" t="s">
        <v>598</v>
      </c>
      <c r="E148" s="11">
        <f t="shared" si="2"/>
        <v>15</v>
      </c>
      <c r="F148" s="13"/>
      <c r="G148" s="13"/>
      <c r="H148" s="2">
        <v>9534</v>
      </c>
      <c r="I148" s="2"/>
      <c r="J148" s="2">
        <f>4862*2</f>
        <v>9724</v>
      </c>
      <c r="K148" s="2"/>
      <c r="L148" s="71"/>
      <c r="M148" s="162">
        <f>4984*2</f>
        <v>9968</v>
      </c>
    </row>
    <row r="149" spans="1:13" ht="12">
      <c r="A149" s="11">
        <f t="shared" si="1"/>
        <v>16</v>
      </c>
      <c r="C149" s="12" t="s">
        <v>599</v>
      </c>
      <c r="E149" s="11">
        <f t="shared" si="2"/>
        <v>16</v>
      </c>
      <c r="F149" s="13"/>
      <c r="G149" s="13"/>
      <c r="H149" s="2">
        <v>7340</v>
      </c>
      <c r="I149" s="2"/>
      <c r="J149" s="2">
        <f>3743*2</f>
        <v>7486</v>
      </c>
      <c r="K149" s="2"/>
      <c r="L149" s="71"/>
      <c r="M149" s="162">
        <f>3837*2</f>
        <v>7674</v>
      </c>
    </row>
    <row r="150" spans="1:13" ht="12">
      <c r="A150" s="11">
        <f t="shared" si="1"/>
        <v>17</v>
      </c>
      <c r="C150" s="12" t="s">
        <v>600</v>
      </c>
      <c r="E150" s="11">
        <f t="shared" si="2"/>
        <v>17</v>
      </c>
      <c r="F150" s="13"/>
      <c r="G150" s="13"/>
      <c r="H150" s="2">
        <v>9534</v>
      </c>
      <c r="I150" s="2"/>
      <c r="J150" s="2">
        <f>4862*2</f>
        <v>9724</v>
      </c>
      <c r="K150" s="2"/>
      <c r="L150" s="71"/>
      <c r="M150" s="162">
        <f>4984*2</f>
        <v>9968</v>
      </c>
    </row>
    <row r="151" spans="1:13" ht="12">
      <c r="A151" s="11">
        <f t="shared" si="1"/>
        <v>18</v>
      </c>
      <c r="C151" s="12" t="s">
        <v>601</v>
      </c>
      <c r="E151" s="11">
        <f t="shared" si="2"/>
        <v>18</v>
      </c>
      <c r="F151" s="13"/>
      <c r="G151" s="13"/>
      <c r="H151" s="2">
        <v>9484</v>
      </c>
      <c r="I151" s="2"/>
      <c r="J151" s="2">
        <f>4837*2</f>
        <v>9674</v>
      </c>
      <c r="K151" s="2"/>
      <c r="L151" s="71"/>
      <c r="M151" s="162">
        <f>4958*2</f>
        <v>9916</v>
      </c>
    </row>
    <row r="152" spans="1:13" ht="12">
      <c r="A152" s="11">
        <f t="shared" si="1"/>
        <v>19</v>
      </c>
      <c r="C152" s="7" t="s">
        <v>602</v>
      </c>
      <c r="E152" s="11">
        <f t="shared" si="2"/>
        <v>19</v>
      </c>
      <c r="H152" s="65">
        <v>8300</v>
      </c>
      <c r="I152" s="62"/>
      <c r="J152" s="62">
        <f>4233*2</f>
        <v>8466</v>
      </c>
      <c r="K152" s="65"/>
      <c r="L152" s="69"/>
      <c r="M152" s="160">
        <f>4339*2</f>
        <v>8678</v>
      </c>
    </row>
    <row r="153" spans="1:13" ht="12">
      <c r="A153" s="11">
        <f t="shared" si="1"/>
        <v>20</v>
      </c>
      <c r="C153" s="7" t="s">
        <v>603</v>
      </c>
      <c r="E153" s="11">
        <f t="shared" si="2"/>
        <v>20</v>
      </c>
      <c r="H153" s="65">
        <v>8300</v>
      </c>
      <c r="I153" s="62"/>
      <c r="J153" s="62">
        <f>4233*2</f>
        <v>8466</v>
      </c>
      <c r="K153" s="65"/>
      <c r="L153" s="69"/>
      <c r="M153" s="160">
        <f>4339*2</f>
        <v>8678</v>
      </c>
    </row>
    <row r="154" spans="1:13" ht="12">
      <c r="A154" s="11">
        <f t="shared" si="1"/>
        <v>21</v>
      </c>
      <c r="E154" s="11">
        <f t="shared" si="2"/>
        <v>21</v>
      </c>
      <c r="H154" s="65"/>
      <c r="I154" s="62"/>
      <c r="J154" s="62"/>
      <c r="K154" s="65"/>
      <c r="L154" s="69"/>
      <c r="M154" s="160"/>
    </row>
    <row r="155" spans="1:13" ht="12">
      <c r="A155" s="11">
        <f t="shared" si="1"/>
        <v>22</v>
      </c>
      <c r="E155" s="11">
        <f t="shared" si="2"/>
        <v>22</v>
      </c>
      <c r="H155" s="65"/>
      <c r="I155" s="62"/>
      <c r="J155" s="62"/>
      <c r="K155" s="65"/>
      <c r="L155" s="69"/>
      <c r="M155" s="160"/>
    </row>
    <row r="156" spans="1:13" ht="12">
      <c r="A156" s="11">
        <f t="shared" si="1"/>
        <v>23</v>
      </c>
      <c r="C156" s="12" t="s">
        <v>143</v>
      </c>
      <c r="E156" s="11">
        <f t="shared" si="2"/>
        <v>23</v>
      </c>
      <c r="H156" s="65"/>
      <c r="I156" s="62"/>
      <c r="J156" s="62"/>
      <c r="K156" s="65"/>
      <c r="L156" s="69"/>
      <c r="M156" s="163"/>
    </row>
    <row r="157" spans="1:13" ht="12">
      <c r="A157" s="11">
        <f t="shared" si="1"/>
        <v>24</v>
      </c>
      <c r="C157" s="12" t="s">
        <v>140</v>
      </c>
      <c r="E157" s="11">
        <f t="shared" si="2"/>
        <v>24</v>
      </c>
      <c r="H157" s="65"/>
      <c r="I157" s="62"/>
      <c r="J157" s="62"/>
      <c r="K157" s="65"/>
      <c r="L157" s="69"/>
      <c r="M157" s="163"/>
    </row>
    <row r="158" spans="1:13" ht="12">
      <c r="A158" s="11">
        <f t="shared" si="1"/>
        <v>25</v>
      </c>
      <c r="C158" s="12" t="s">
        <v>141</v>
      </c>
      <c r="E158" s="11">
        <f t="shared" si="2"/>
        <v>25</v>
      </c>
      <c r="H158" s="65"/>
      <c r="I158" s="65"/>
      <c r="J158" s="65"/>
      <c r="K158" s="65"/>
      <c r="L158" s="72"/>
      <c r="M158" s="164"/>
    </row>
    <row r="159" spans="1:13" ht="12">
      <c r="A159" s="11">
        <f t="shared" si="1"/>
        <v>26</v>
      </c>
      <c r="C159" s="12" t="s">
        <v>0</v>
      </c>
      <c r="E159" s="11">
        <f t="shared" si="2"/>
        <v>26</v>
      </c>
      <c r="H159" s="65"/>
      <c r="I159" s="62"/>
      <c r="J159" s="62"/>
      <c r="K159" s="65"/>
      <c r="L159" s="69"/>
      <c r="M159" s="163"/>
    </row>
    <row r="160" spans="1:13" ht="12">
      <c r="A160" s="11">
        <f t="shared" si="1"/>
        <v>27</v>
      </c>
      <c r="C160" s="12" t="s">
        <v>0</v>
      </c>
      <c r="E160" s="11">
        <f t="shared" si="2"/>
        <v>27</v>
      </c>
      <c r="H160" s="65"/>
      <c r="I160" s="62"/>
      <c r="J160" s="62"/>
      <c r="K160" s="65"/>
      <c r="L160" s="69"/>
      <c r="M160" s="163"/>
    </row>
    <row r="161" spans="1:13" ht="12">
      <c r="A161" s="11">
        <f t="shared" si="1"/>
        <v>28</v>
      </c>
      <c r="C161" s="12" t="s">
        <v>0</v>
      </c>
      <c r="E161" s="11">
        <f t="shared" si="2"/>
        <v>28</v>
      </c>
      <c r="H161" s="65"/>
      <c r="I161" s="62"/>
      <c r="J161" s="62"/>
      <c r="K161" s="65"/>
      <c r="L161" s="69"/>
      <c r="M161" s="163"/>
    </row>
    <row r="162" spans="1:13" ht="12">
      <c r="A162" s="11"/>
      <c r="C162" s="12" t="s">
        <v>0</v>
      </c>
      <c r="E162" s="50"/>
      <c r="F162" s="59"/>
      <c r="G162" s="59"/>
      <c r="H162" s="59"/>
      <c r="I162" s="17"/>
      <c r="J162" s="55"/>
      <c r="L162" s="17"/>
      <c r="M162" s="55"/>
    </row>
    <row r="163" spans="1:5" ht="12">
      <c r="A163" s="11"/>
      <c r="E163" s="50"/>
    </row>
    <row r="164" spans="9:13" s="73" customFormat="1" ht="9">
      <c r="I164" s="74"/>
      <c r="J164" s="75"/>
      <c r="L164" s="74"/>
      <c r="M164" s="75"/>
    </row>
    <row r="165" spans="1:13" s="73" customFormat="1" ht="9">
      <c r="A165" s="76"/>
      <c r="I165" s="74"/>
      <c r="J165" s="75"/>
      <c r="L165" s="74"/>
      <c r="M165" s="75"/>
    </row>
    <row r="166" spans="1:13" ht="12">
      <c r="A166" s="12"/>
      <c r="J166" s="55"/>
      <c r="M166" s="55"/>
    </row>
    <row r="167" spans="1:13" ht="12">
      <c r="A167" s="12"/>
      <c r="J167" s="55"/>
      <c r="M167" s="55"/>
    </row>
    <row r="168" spans="1:13" ht="12">
      <c r="A168" s="12"/>
      <c r="J168" s="55"/>
      <c r="M168" s="55"/>
    </row>
    <row r="169" spans="1:13" ht="12">
      <c r="A169" s="12"/>
      <c r="J169" s="55"/>
      <c r="M169" s="55"/>
    </row>
    <row r="170" spans="1:13" ht="12">
      <c r="A170" s="12"/>
      <c r="J170" s="55"/>
      <c r="M170" s="55"/>
    </row>
    <row r="171" spans="1:13" ht="12">
      <c r="A171" s="12"/>
      <c r="J171" s="55"/>
      <c r="M171" s="55"/>
    </row>
    <row r="172" spans="1:13" ht="12">
      <c r="A172" s="12"/>
      <c r="J172" s="55"/>
      <c r="M172" s="55"/>
    </row>
    <row r="173" spans="1:13" ht="12">
      <c r="A173" s="12"/>
      <c r="J173" s="55"/>
      <c r="M173" s="55"/>
    </row>
    <row r="174" spans="1:13" ht="12">
      <c r="A174" s="12"/>
      <c r="J174" s="55"/>
      <c r="M174" s="55"/>
    </row>
    <row r="175" spans="5:15" ht="12">
      <c r="E175" s="50"/>
      <c r="I175" s="17"/>
      <c r="J175" s="55"/>
      <c r="K175" s="5"/>
      <c r="M175" s="55"/>
      <c r="O175" s="59"/>
    </row>
    <row r="176" spans="1:15" ht="12">
      <c r="A176" s="19" t="str">
        <f>$A$36</f>
        <v>Institution No.:  GFD</v>
      </c>
      <c r="E176" s="50"/>
      <c r="I176" s="17"/>
      <c r="J176" s="55"/>
      <c r="L176" s="17"/>
      <c r="M176" s="18" t="s">
        <v>144</v>
      </c>
      <c r="N176" s="5"/>
      <c r="O176" s="59"/>
    </row>
    <row r="177" spans="1:15" ht="12.75" customHeight="1">
      <c r="A177" s="262" t="s">
        <v>145</v>
      </c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5"/>
      <c r="O177" s="59"/>
    </row>
    <row r="178" spans="1:15" ht="12">
      <c r="A178" s="19" t="s">
        <v>664</v>
      </c>
      <c r="C178" s="7" t="s">
        <v>665</v>
      </c>
      <c r="J178" s="55"/>
      <c r="L178" s="17"/>
      <c r="M178" s="20" t="str">
        <f>$M$3</f>
        <v>Date: 10/1/2008</v>
      </c>
      <c r="N178" s="5"/>
      <c r="O178" s="59"/>
    </row>
    <row r="179" spans="1:13" ht="12">
      <c r="A179" s="21" t="s">
        <v>1</v>
      </c>
      <c r="B179" s="21" t="s">
        <v>1</v>
      </c>
      <c r="C179" s="21" t="s">
        <v>1</v>
      </c>
      <c r="D179" s="21" t="s">
        <v>1</v>
      </c>
      <c r="E179" s="21" t="s">
        <v>1</v>
      </c>
      <c r="F179" s="21" t="s">
        <v>1</v>
      </c>
      <c r="G179" s="21"/>
      <c r="H179" s="21"/>
      <c r="I179" s="22" t="s">
        <v>1</v>
      </c>
      <c r="J179" s="23" t="s">
        <v>1</v>
      </c>
      <c r="K179" s="21" t="s">
        <v>1</v>
      </c>
      <c r="L179" s="22" t="s">
        <v>1</v>
      </c>
      <c r="M179" s="23" t="s">
        <v>1</v>
      </c>
    </row>
    <row r="180" spans="1:13" ht="12">
      <c r="A180" s="24" t="s">
        <v>2</v>
      </c>
      <c r="E180" s="24" t="s">
        <v>2</v>
      </c>
      <c r="H180" s="25" t="s">
        <v>249</v>
      </c>
      <c r="I180" s="26"/>
      <c r="J180" s="27" t="s">
        <v>251</v>
      </c>
      <c r="K180" s="25"/>
      <c r="L180" s="26"/>
      <c r="M180" s="27" t="s">
        <v>260</v>
      </c>
    </row>
    <row r="181" spans="1:13" ht="12">
      <c r="A181" s="24" t="s">
        <v>4</v>
      </c>
      <c r="C181" s="12" t="s">
        <v>0</v>
      </c>
      <c r="E181" s="24" t="s">
        <v>4</v>
      </c>
      <c r="H181" s="25" t="s">
        <v>7</v>
      </c>
      <c r="I181" s="26"/>
      <c r="J181" s="27" t="s">
        <v>7</v>
      </c>
      <c r="K181" s="25"/>
      <c r="L181" s="26"/>
      <c r="M181" s="27" t="s">
        <v>8</v>
      </c>
    </row>
    <row r="182" spans="1:13" ht="12">
      <c r="A182" s="21" t="s">
        <v>1</v>
      </c>
      <c r="B182" s="21" t="s">
        <v>1</v>
      </c>
      <c r="C182" s="21" t="s">
        <v>1</v>
      </c>
      <c r="D182" s="21" t="s">
        <v>1</v>
      </c>
      <c r="E182" s="21" t="s">
        <v>1</v>
      </c>
      <c r="F182" s="21" t="s">
        <v>1</v>
      </c>
      <c r="G182" s="21"/>
      <c r="H182" s="21"/>
      <c r="I182" s="22" t="s">
        <v>1</v>
      </c>
      <c r="J182" s="23" t="s">
        <v>1</v>
      </c>
      <c r="K182" s="21" t="s">
        <v>1</v>
      </c>
      <c r="L182" s="22" t="s">
        <v>1</v>
      </c>
      <c r="M182" s="23" t="s">
        <v>1</v>
      </c>
    </row>
    <row r="183" spans="1:13" ht="12">
      <c r="A183" s="11">
        <v>1</v>
      </c>
      <c r="C183" s="12" t="s">
        <v>139</v>
      </c>
      <c r="E183" s="11">
        <v>1</v>
      </c>
      <c r="H183" s="65"/>
      <c r="I183" s="62"/>
      <c r="J183" s="62"/>
      <c r="K183" s="65"/>
      <c r="L183" s="17"/>
      <c r="M183" s="55"/>
    </row>
    <row r="184" spans="1:13" ht="12">
      <c r="A184" s="11">
        <f aca="true" t="shared" si="3" ref="A184:A212">(A183+1)</f>
        <v>2</v>
      </c>
      <c r="C184" s="12" t="s">
        <v>140</v>
      </c>
      <c r="E184" s="11">
        <f aca="true" t="shared" si="4" ref="E184:E212">(E183+1)</f>
        <v>2</v>
      </c>
      <c r="F184" s="36"/>
      <c r="G184" s="36"/>
      <c r="H184" s="62"/>
      <c r="I184" s="62"/>
      <c r="J184" s="62"/>
      <c r="K184" s="62"/>
      <c r="L184" s="17"/>
      <c r="M184" s="160"/>
    </row>
    <row r="185" spans="1:13" ht="12">
      <c r="A185" s="11">
        <f t="shared" si="3"/>
        <v>3</v>
      </c>
      <c r="C185" s="12" t="s">
        <v>604</v>
      </c>
      <c r="E185" s="11">
        <f t="shared" si="4"/>
        <v>3</v>
      </c>
      <c r="F185" s="36"/>
      <c r="G185" s="36"/>
      <c r="H185" s="62">
        <v>16200</v>
      </c>
      <c r="I185" s="62"/>
      <c r="J185" s="62">
        <f>8505*2</f>
        <v>17010</v>
      </c>
      <c r="K185" s="62"/>
      <c r="L185" s="17"/>
      <c r="M185" s="160">
        <f>9228*2</f>
        <v>18456</v>
      </c>
    </row>
    <row r="186" spans="1:13" ht="12">
      <c r="A186" s="11">
        <f t="shared" si="3"/>
        <v>4</v>
      </c>
      <c r="C186" s="12" t="s">
        <v>605</v>
      </c>
      <c r="E186" s="11">
        <f t="shared" si="4"/>
        <v>4</v>
      </c>
      <c r="F186" s="36"/>
      <c r="G186" s="36"/>
      <c r="H186" s="62">
        <v>16200</v>
      </c>
      <c r="I186" s="62"/>
      <c r="J186" s="62">
        <f>8505*2</f>
        <v>17010</v>
      </c>
      <c r="K186" s="62"/>
      <c r="L186" s="17"/>
      <c r="M186" s="160">
        <f>9228*2</f>
        <v>18456</v>
      </c>
    </row>
    <row r="187" spans="1:13" ht="12">
      <c r="A187" s="11">
        <f t="shared" si="3"/>
        <v>5</v>
      </c>
      <c r="E187" s="11">
        <f t="shared" si="4"/>
        <v>5</v>
      </c>
      <c r="F187" s="36"/>
      <c r="G187" s="36"/>
      <c r="H187" s="62"/>
      <c r="I187" s="62"/>
      <c r="J187" s="62"/>
      <c r="K187" s="62"/>
      <c r="L187" s="17"/>
      <c r="M187" s="160"/>
    </row>
    <row r="188" spans="1:13" ht="12">
      <c r="A188" s="11">
        <f t="shared" si="3"/>
        <v>6</v>
      </c>
      <c r="C188" s="12" t="s">
        <v>0</v>
      </c>
      <c r="E188" s="11">
        <f t="shared" si="4"/>
        <v>6</v>
      </c>
      <c r="F188" s="36"/>
      <c r="G188" s="36"/>
      <c r="H188" s="62"/>
      <c r="I188" s="62"/>
      <c r="J188" s="62"/>
      <c r="K188" s="62"/>
      <c r="L188" s="17"/>
      <c r="M188" s="160"/>
    </row>
    <row r="189" spans="1:13" ht="12">
      <c r="A189" s="11">
        <f t="shared" si="3"/>
        <v>7</v>
      </c>
      <c r="C189" s="12" t="s">
        <v>0</v>
      </c>
      <c r="E189" s="11">
        <f t="shared" si="4"/>
        <v>7</v>
      </c>
      <c r="F189" s="36"/>
      <c r="G189" s="36"/>
      <c r="H189" s="62"/>
      <c r="I189" s="62"/>
      <c r="J189" s="62"/>
      <c r="K189" s="62"/>
      <c r="L189" s="17"/>
      <c r="M189" s="160"/>
    </row>
    <row r="190" spans="1:13" ht="12">
      <c r="A190" s="11">
        <f t="shared" si="3"/>
        <v>8</v>
      </c>
      <c r="E190" s="11">
        <f t="shared" si="4"/>
        <v>8</v>
      </c>
      <c r="H190" s="65"/>
      <c r="I190" s="62"/>
      <c r="J190" s="62"/>
      <c r="K190" s="65"/>
      <c r="L190" s="17"/>
      <c r="M190" s="160"/>
    </row>
    <row r="191" spans="1:13" ht="12">
      <c r="A191" s="11">
        <f t="shared" si="3"/>
        <v>9</v>
      </c>
      <c r="C191" s="12" t="s">
        <v>0</v>
      </c>
      <c r="E191" s="11">
        <f t="shared" si="4"/>
        <v>9</v>
      </c>
      <c r="H191" s="65"/>
      <c r="I191" s="62"/>
      <c r="J191" s="62"/>
      <c r="K191" s="65"/>
      <c r="L191" s="17"/>
      <c r="M191" s="160"/>
    </row>
    <row r="192" spans="1:13" ht="12">
      <c r="A192" s="11">
        <f t="shared" si="3"/>
        <v>10</v>
      </c>
      <c r="C192" s="12" t="s">
        <v>0</v>
      </c>
      <c r="E192" s="11">
        <f t="shared" si="4"/>
        <v>10</v>
      </c>
      <c r="H192" s="65"/>
      <c r="I192" s="62"/>
      <c r="J192" s="62"/>
      <c r="K192" s="65"/>
      <c r="L192" s="17"/>
      <c r="M192" s="160"/>
    </row>
    <row r="193" spans="1:13" ht="12">
      <c r="A193" s="11">
        <f t="shared" si="3"/>
        <v>11</v>
      </c>
      <c r="C193" s="12" t="s">
        <v>142</v>
      </c>
      <c r="E193" s="11">
        <f t="shared" si="4"/>
        <v>11</v>
      </c>
      <c r="H193" s="65"/>
      <c r="I193" s="62"/>
      <c r="J193" s="62"/>
      <c r="K193" s="65"/>
      <c r="L193" s="17"/>
      <c r="M193" s="160"/>
    </row>
    <row r="194" spans="1:13" ht="12">
      <c r="A194" s="11">
        <f t="shared" si="3"/>
        <v>12</v>
      </c>
      <c r="C194" s="12" t="s">
        <v>140</v>
      </c>
      <c r="E194" s="11">
        <f t="shared" si="4"/>
        <v>12</v>
      </c>
      <c r="H194" s="65"/>
      <c r="I194" s="62"/>
      <c r="J194" s="62"/>
      <c r="K194" s="65"/>
      <c r="L194" s="17"/>
      <c r="M194" s="160"/>
    </row>
    <row r="195" spans="1:13" ht="12">
      <c r="A195" s="11">
        <f t="shared" si="3"/>
        <v>13</v>
      </c>
      <c r="C195" s="12" t="s">
        <v>596</v>
      </c>
      <c r="E195" s="11">
        <f t="shared" si="4"/>
        <v>13</v>
      </c>
      <c r="H195" s="65">
        <v>16850</v>
      </c>
      <c r="I195" s="62"/>
      <c r="J195" s="62">
        <f>8594*2</f>
        <v>17188</v>
      </c>
      <c r="K195" s="65"/>
      <c r="L195" s="17"/>
      <c r="M195" s="160">
        <f>8809*2</f>
        <v>17618</v>
      </c>
    </row>
    <row r="196" spans="1:13" ht="12">
      <c r="A196" s="11">
        <f t="shared" si="3"/>
        <v>14</v>
      </c>
      <c r="C196" s="12" t="s">
        <v>597</v>
      </c>
      <c r="E196" s="11">
        <f t="shared" si="4"/>
        <v>14</v>
      </c>
      <c r="F196" s="13"/>
      <c r="G196" s="13"/>
      <c r="H196" s="2">
        <v>17934</v>
      </c>
      <c r="I196" s="2"/>
      <c r="J196" s="2">
        <f>9146*2</f>
        <v>18292</v>
      </c>
      <c r="K196" s="2"/>
      <c r="L196" s="14"/>
      <c r="M196" s="162">
        <f>9375*2</f>
        <v>18750</v>
      </c>
    </row>
    <row r="197" spans="1:13" ht="12">
      <c r="A197" s="11">
        <f t="shared" si="3"/>
        <v>15</v>
      </c>
      <c r="C197" s="12" t="s">
        <v>598</v>
      </c>
      <c r="E197" s="11">
        <f t="shared" si="4"/>
        <v>15</v>
      </c>
      <c r="F197" s="13"/>
      <c r="G197" s="13"/>
      <c r="H197" s="2">
        <v>18272</v>
      </c>
      <c r="I197" s="2"/>
      <c r="J197" s="2">
        <f>9319*2</f>
        <v>18638</v>
      </c>
      <c r="K197" s="2"/>
      <c r="L197" s="14"/>
      <c r="M197" s="162">
        <f>9552*2</f>
        <v>19104</v>
      </c>
    </row>
    <row r="198" spans="1:13" ht="12">
      <c r="A198" s="11">
        <f t="shared" si="3"/>
        <v>16</v>
      </c>
      <c r="C198" s="12" t="s">
        <v>599</v>
      </c>
      <c r="E198" s="11">
        <f t="shared" si="4"/>
        <v>16</v>
      </c>
      <c r="F198" s="13"/>
      <c r="G198" s="13"/>
      <c r="H198" s="2">
        <v>17934</v>
      </c>
      <c r="I198" s="2"/>
      <c r="J198" s="2">
        <f>9146*2</f>
        <v>18292</v>
      </c>
      <c r="K198" s="2"/>
      <c r="L198" s="14"/>
      <c r="M198" s="162">
        <f>9375*2</f>
        <v>18750</v>
      </c>
    </row>
    <row r="199" spans="1:13" ht="12">
      <c r="A199" s="11">
        <f t="shared" si="3"/>
        <v>17</v>
      </c>
      <c r="C199" s="12" t="s">
        <v>600</v>
      </c>
      <c r="E199" s="11">
        <f t="shared" si="4"/>
        <v>17</v>
      </c>
      <c r="F199" s="13"/>
      <c r="G199" s="13"/>
      <c r="H199" s="2">
        <v>18272</v>
      </c>
      <c r="I199" s="2"/>
      <c r="J199" s="2">
        <f>9319*2</f>
        <v>18638</v>
      </c>
      <c r="K199" s="2"/>
      <c r="L199" s="14"/>
      <c r="M199" s="162">
        <f>9552*2</f>
        <v>19104</v>
      </c>
    </row>
    <row r="200" spans="1:13" ht="12">
      <c r="A200" s="11">
        <f t="shared" si="3"/>
        <v>18</v>
      </c>
      <c r="C200" s="12" t="s">
        <v>601</v>
      </c>
      <c r="E200" s="11">
        <f t="shared" si="4"/>
        <v>18</v>
      </c>
      <c r="F200" s="13"/>
      <c r="G200" s="13"/>
      <c r="H200" s="2">
        <v>17934</v>
      </c>
      <c r="I200" s="2"/>
      <c r="J200" s="2">
        <f>9146*2</f>
        <v>18292</v>
      </c>
      <c r="K200" s="2"/>
      <c r="L200" s="14"/>
      <c r="M200" s="162">
        <f>9375*2</f>
        <v>18750</v>
      </c>
    </row>
    <row r="201" spans="1:13" ht="12">
      <c r="A201" s="11">
        <f t="shared" si="3"/>
        <v>19</v>
      </c>
      <c r="C201" s="7" t="s">
        <v>602</v>
      </c>
      <c r="E201" s="11">
        <f t="shared" si="4"/>
        <v>19</v>
      </c>
      <c r="H201" s="2">
        <v>17934</v>
      </c>
      <c r="I201" s="62"/>
      <c r="J201" s="2">
        <f>9146*2</f>
        <v>18292</v>
      </c>
      <c r="K201" s="65"/>
      <c r="L201" s="17"/>
      <c r="M201" s="162">
        <f>9375*2</f>
        <v>18750</v>
      </c>
    </row>
    <row r="202" spans="1:13" ht="12">
      <c r="A202" s="11">
        <f t="shared" si="3"/>
        <v>20</v>
      </c>
      <c r="C202" s="7" t="s">
        <v>603</v>
      </c>
      <c r="E202" s="11">
        <f t="shared" si="4"/>
        <v>20</v>
      </c>
      <c r="H202" s="2">
        <v>17934</v>
      </c>
      <c r="I202" s="62"/>
      <c r="J202" s="2">
        <f>9146*2</f>
        <v>18292</v>
      </c>
      <c r="K202" s="65"/>
      <c r="L202" s="17"/>
      <c r="M202" s="162">
        <f>9375*2</f>
        <v>18750</v>
      </c>
    </row>
    <row r="203" spans="1:13" ht="12">
      <c r="A203" s="11">
        <f t="shared" si="3"/>
        <v>21</v>
      </c>
      <c r="E203" s="11">
        <f t="shared" si="4"/>
        <v>21</v>
      </c>
      <c r="H203" s="65"/>
      <c r="I203" s="62"/>
      <c r="J203" s="62"/>
      <c r="K203" s="65"/>
      <c r="L203" s="17"/>
      <c r="M203" s="160"/>
    </row>
    <row r="204" spans="1:13" ht="12">
      <c r="A204" s="11">
        <f t="shared" si="3"/>
        <v>22</v>
      </c>
      <c r="E204" s="11">
        <f t="shared" si="4"/>
        <v>22</v>
      </c>
      <c r="H204" s="65"/>
      <c r="I204" s="62"/>
      <c r="J204" s="62"/>
      <c r="K204" s="65"/>
      <c r="L204" s="17"/>
      <c r="M204" s="160"/>
    </row>
    <row r="205" spans="1:13" ht="12">
      <c r="A205" s="11">
        <f t="shared" si="3"/>
        <v>23</v>
      </c>
      <c r="E205" s="11">
        <f t="shared" si="4"/>
        <v>23</v>
      </c>
      <c r="H205" s="65"/>
      <c r="I205" s="62"/>
      <c r="J205" s="62"/>
      <c r="K205" s="65"/>
      <c r="L205" s="17"/>
      <c r="M205" s="160"/>
    </row>
    <row r="206" spans="1:13" ht="12">
      <c r="A206" s="11">
        <f t="shared" si="3"/>
        <v>24</v>
      </c>
      <c r="C206" s="12" t="s">
        <v>143</v>
      </c>
      <c r="E206" s="11">
        <f t="shared" si="4"/>
        <v>24</v>
      </c>
      <c r="H206" s="65"/>
      <c r="I206" s="62"/>
      <c r="J206" s="62"/>
      <c r="K206" s="65"/>
      <c r="L206" s="17"/>
      <c r="M206" s="55"/>
    </row>
    <row r="207" spans="1:11" ht="12">
      <c r="A207" s="11">
        <f t="shared" si="3"/>
        <v>25</v>
      </c>
      <c r="C207" s="12" t="s">
        <v>140</v>
      </c>
      <c r="E207" s="11">
        <f t="shared" si="4"/>
        <v>25</v>
      </c>
      <c r="H207" s="65"/>
      <c r="I207" s="65"/>
      <c r="J207" s="65"/>
      <c r="K207" s="65"/>
    </row>
    <row r="208" spans="1:13" ht="12">
      <c r="A208" s="11">
        <f t="shared" si="3"/>
        <v>26</v>
      </c>
      <c r="E208" s="11">
        <f t="shared" si="4"/>
        <v>26</v>
      </c>
      <c r="H208" s="65"/>
      <c r="I208" s="62"/>
      <c r="J208" s="62"/>
      <c r="K208" s="65"/>
      <c r="L208" s="17"/>
      <c r="M208" s="55"/>
    </row>
    <row r="209" spans="1:13" ht="12">
      <c r="A209" s="11">
        <f t="shared" si="3"/>
        <v>27</v>
      </c>
      <c r="E209" s="11">
        <f t="shared" si="4"/>
        <v>27</v>
      </c>
      <c r="H209" s="65"/>
      <c r="I209" s="62"/>
      <c r="J209" s="62"/>
      <c r="K209" s="65"/>
      <c r="L209" s="17"/>
      <c r="M209" s="55"/>
    </row>
    <row r="210" spans="1:13" ht="12">
      <c r="A210" s="11">
        <f t="shared" si="3"/>
        <v>28</v>
      </c>
      <c r="E210" s="11">
        <f t="shared" si="4"/>
        <v>28</v>
      </c>
      <c r="H210" s="65"/>
      <c r="I210" s="62"/>
      <c r="J210" s="62"/>
      <c r="K210" s="65"/>
      <c r="L210" s="17"/>
      <c r="M210" s="55"/>
    </row>
    <row r="211" spans="1:13" ht="12">
      <c r="A211" s="11">
        <f t="shared" si="3"/>
        <v>29</v>
      </c>
      <c r="E211" s="11">
        <f t="shared" si="4"/>
        <v>29</v>
      </c>
      <c r="F211" s="59"/>
      <c r="G211" s="59"/>
      <c r="H211" s="62"/>
      <c r="I211" s="62"/>
      <c r="J211" s="62"/>
      <c r="K211" s="65"/>
      <c r="L211" s="17"/>
      <c r="M211" s="55"/>
    </row>
    <row r="212" spans="1:11" ht="12">
      <c r="A212" s="11">
        <f t="shared" si="3"/>
        <v>30</v>
      </c>
      <c r="E212" s="11">
        <f t="shared" si="4"/>
        <v>30</v>
      </c>
      <c r="H212" s="65"/>
      <c r="I212" s="65"/>
      <c r="J212" s="65"/>
      <c r="K212" s="65"/>
    </row>
    <row r="214" ht="12">
      <c r="A214" s="12"/>
    </row>
    <row r="215" spans="1:13" ht="12">
      <c r="A215" s="12"/>
      <c r="J215" s="55"/>
      <c r="M215" s="55"/>
    </row>
    <row r="216" spans="1:13" ht="12">
      <c r="A216" s="12"/>
      <c r="J216" s="55"/>
      <c r="M216" s="55"/>
    </row>
    <row r="217" spans="1:13" ht="12">
      <c r="A217" s="12"/>
      <c r="J217" s="55"/>
      <c r="M217" s="55"/>
    </row>
    <row r="218" spans="1:13" ht="12">
      <c r="A218" s="12"/>
      <c r="J218" s="55"/>
      <c r="M218" s="55"/>
    </row>
    <row r="219" spans="1:13" ht="12">
      <c r="A219" s="12"/>
      <c r="J219" s="55"/>
      <c r="M219" s="55"/>
    </row>
    <row r="220" spans="1:13" ht="12">
      <c r="A220" s="12"/>
      <c r="J220" s="55"/>
      <c r="M220" s="55"/>
    </row>
    <row r="221" spans="1:13" ht="12">
      <c r="A221" s="12"/>
      <c r="J221" s="55"/>
      <c r="M221" s="55"/>
    </row>
    <row r="222" spans="1:13" ht="12">
      <c r="A222" s="12"/>
      <c r="J222" s="55"/>
      <c r="M222" s="55"/>
    </row>
    <row r="223" spans="1:13" ht="12">
      <c r="A223" s="19" t="str">
        <f>$A$36</f>
        <v>Institution No.:  GFD</v>
      </c>
      <c r="C223" s="77"/>
      <c r="I223" s="7"/>
      <c r="J223" s="7"/>
      <c r="K223" s="33" t="s">
        <v>163</v>
      </c>
      <c r="L223" s="7"/>
      <c r="M223" s="7"/>
    </row>
    <row r="224" spans="1:13" ht="12">
      <c r="A224" s="54"/>
      <c r="B224" s="277" t="s">
        <v>164</v>
      </c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</row>
    <row r="225" spans="1:13" ht="12">
      <c r="A225" s="19" t="s">
        <v>664</v>
      </c>
      <c r="C225" s="7" t="s">
        <v>665</v>
      </c>
      <c r="I225" s="7"/>
      <c r="J225" s="7"/>
      <c r="K225" s="78" t="s">
        <v>606</v>
      </c>
      <c r="L225" s="7"/>
      <c r="M225" s="7"/>
    </row>
    <row r="226" spans="1:13" ht="12">
      <c r="A226" s="21"/>
      <c r="C226" s="21" t="s">
        <v>1</v>
      </c>
      <c r="D226" s="21" t="s">
        <v>1</v>
      </c>
      <c r="E226" s="21" t="s">
        <v>1</v>
      </c>
      <c r="F226" s="21" t="s">
        <v>1</v>
      </c>
      <c r="G226" s="21"/>
      <c r="H226" s="21"/>
      <c r="I226" s="21" t="s">
        <v>1</v>
      </c>
      <c r="J226" s="21" t="s">
        <v>1</v>
      </c>
      <c r="K226" s="21" t="s">
        <v>1</v>
      </c>
      <c r="L226" s="21" t="s">
        <v>1</v>
      </c>
      <c r="M226" s="7"/>
    </row>
    <row r="227" spans="1:13" ht="12">
      <c r="A227" s="24"/>
      <c r="D227" s="28" t="s">
        <v>249</v>
      </c>
      <c r="G227" s="28"/>
      <c r="I227" s="28" t="s">
        <v>251</v>
      </c>
      <c r="J227" s="7"/>
      <c r="L227" s="7"/>
      <c r="M227" s="7"/>
    </row>
    <row r="228" spans="1:13" ht="12">
      <c r="A228" s="24"/>
      <c r="D228" s="28" t="s">
        <v>165</v>
      </c>
      <c r="G228" s="28"/>
      <c r="I228" s="28" t="s">
        <v>165</v>
      </c>
      <c r="J228" s="7"/>
      <c r="L228" s="7"/>
      <c r="M228" s="7"/>
    </row>
    <row r="229" spans="1:13" ht="12">
      <c r="A229" s="21"/>
      <c r="D229" s="28" t="s">
        <v>21</v>
      </c>
      <c r="E229" s="28" t="s">
        <v>21</v>
      </c>
      <c r="F229" s="28" t="s">
        <v>166</v>
      </c>
      <c r="G229" s="28"/>
      <c r="H229" s="28"/>
      <c r="I229" s="28" t="s">
        <v>21</v>
      </c>
      <c r="J229" s="28" t="s">
        <v>21</v>
      </c>
      <c r="K229" s="28" t="s">
        <v>166</v>
      </c>
      <c r="L229" s="28"/>
      <c r="M229" s="7"/>
    </row>
    <row r="230" spans="1:13" ht="12">
      <c r="A230" s="12"/>
      <c r="C230" s="28" t="s">
        <v>167</v>
      </c>
      <c r="D230" s="28" t="s">
        <v>168</v>
      </c>
      <c r="E230" s="28" t="s">
        <v>169</v>
      </c>
      <c r="F230" s="28" t="s">
        <v>170</v>
      </c>
      <c r="G230" s="28"/>
      <c r="H230" s="28"/>
      <c r="I230" s="28" t="s">
        <v>168</v>
      </c>
      <c r="J230" s="28" t="s">
        <v>169</v>
      </c>
      <c r="K230" s="28" t="s">
        <v>170</v>
      </c>
      <c r="L230" s="28"/>
      <c r="M230" s="7"/>
    </row>
    <row r="231" spans="1:13" ht="12">
      <c r="A231" s="12"/>
      <c r="C231" s="21" t="s">
        <v>1</v>
      </c>
      <c r="D231" s="21" t="s">
        <v>1</v>
      </c>
      <c r="E231" s="21" t="s">
        <v>1</v>
      </c>
      <c r="F231" s="21" t="s">
        <v>1</v>
      </c>
      <c r="G231" s="21"/>
      <c r="H231" s="21"/>
      <c r="I231" s="21" t="s">
        <v>1</v>
      </c>
      <c r="J231" s="21" t="s">
        <v>1</v>
      </c>
      <c r="K231" s="21" t="s">
        <v>1</v>
      </c>
      <c r="L231" s="21" t="s">
        <v>1</v>
      </c>
      <c r="M231" s="7"/>
    </row>
    <row r="232" spans="1:13" ht="12">
      <c r="A232" s="12"/>
      <c r="I232" s="7"/>
      <c r="J232" s="7"/>
      <c r="L232" s="7"/>
      <c r="M232" s="7"/>
    </row>
    <row r="233" spans="1:13" ht="12">
      <c r="A233" s="12"/>
      <c r="C233" s="12" t="s">
        <v>171</v>
      </c>
      <c r="D233" s="79"/>
      <c r="E233" s="79"/>
      <c r="F233" s="79"/>
      <c r="G233" s="29"/>
      <c r="H233" s="29"/>
      <c r="I233" s="79"/>
      <c r="J233" s="79"/>
      <c r="K233" s="80"/>
      <c r="L233" s="7"/>
      <c r="M233" s="7"/>
    </row>
    <row r="234" spans="1:13" ht="12">
      <c r="A234" s="12"/>
      <c r="D234" s="79"/>
      <c r="E234" s="79"/>
      <c r="F234" s="79"/>
      <c r="G234" s="81"/>
      <c r="H234" s="81"/>
      <c r="I234" s="79"/>
      <c r="J234" s="79"/>
      <c r="K234" s="79"/>
      <c r="L234" s="7"/>
      <c r="M234" s="7"/>
    </row>
    <row r="235" spans="1:13" ht="12">
      <c r="A235" s="12"/>
      <c r="C235" s="12" t="s">
        <v>172</v>
      </c>
      <c r="D235" s="63">
        <v>3396.8</v>
      </c>
      <c r="E235" s="63">
        <v>151.6</v>
      </c>
      <c r="F235" s="64">
        <f>D235/E235</f>
        <v>22.40633245382586</v>
      </c>
      <c r="G235" s="29"/>
      <c r="H235" s="29"/>
      <c r="I235" s="63">
        <v>3633.1</v>
      </c>
      <c r="J235" s="63">
        <v>168.3</v>
      </c>
      <c r="K235" s="63">
        <f>I235/J235</f>
        <v>21.587046939988113</v>
      </c>
      <c r="L235" s="11"/>
      <c r="M235" s="7"/>
    </row>
    <row r="236" spans="1:13" ht="12">
      <c r="A236" s="12"/>
      <c r="D236" s="64"/>
      <c r="E236" s="64"/>
      <c r="F236" s="64"/>
      <c r="G236" s="81"/>
      <c r="H236" s="81"/>
      <c r="I236" s="64"/>
      <c r="J236" s="64"/>
      <c r="K236" s="64"/>
      <c r="L236" s="7"/>
      <c r="M236" s="7"/>
    </row>
    <row r="237" spans="1:13" ht="12">
      <c r="A237" s="12"/>
      <c r="C237" s="12" t="s">
        <v>173</v>
      </c>
      <c r="D237" s="63">
        <v>3134.7</v>
      </c>
      <c r="E237" s="63">
        <v>190.9</v>
      </c>
      <c r="F237" s="64">
        <f>D237/E237</f>
        <v>16.420639078051334</v>
      </c>
      <c r="G237" s="29"/>
      <c r="H237" s="29"/>
      <c r="I237" s="63">
        <v>3298.5</v>
      </c>
      <c r="J237" s="63">
        <v>200.7</v>
      </c>
      <c r="K237" s="63">
        <f>I237/J237</f>
        <v>16.434977578475337</v>
      </c>
      <c r="L237" s="11"/>
      <c r="M237" s="7"/>
    </row>
    <row r="238" spans="1:13" ht="12">
      <c r="A238" s="12"/>
      <c r="D238" s="64"/>
      <c r="E238" s="64"/>
      <c r="F238" s="64"/>
      <c r="G238" s="81"/>
      <c r="H238" s="81"/>
      <c r="I238" s="64"/>
      <c r="J238" s="64"/>
      <c r="K238" s="64"/>
      <c r="L238" s="7"/>
      <c r="M238" s="7"/>
    </row>
    <row r="239" spans="1:13" ht="12">
      <c r="A239" s="12"/>
      <c r="C239" s="12" t="s">
        <v>174</v>
      </c>
      <c r="D239" s="63">
        <f>SUM(D233:D237)</f>
        <v>6531.5</v>
      </c>
      <c r="E239" s="63">
        <f>SUM(E233:E237)</f>
        <v>342.5</v>
      </c>
      <c r="F239" s="64">
        <f>D239/E239</f>
        <v>19.07007299270073</v>
      </c>
      <c r="G239" s="82"/>
      <c r="H239" s="82"/>
      <c r="I239" s="63">
        <f>SUM(I233:I237)</f>
        <v>6931.6</v>
      </c>
      <c r="J239" s="63">
        <f>SUM(J233:J237)</f>
        <v>369</v>
      </c>
      <c r="K239" s="63">
        <f>I239/J239</f>
        <v>18.784823848238485</v>
      </c>
      <c r="L239" s="31"/>
      <c r="M239" s="83"/>
    </row>
    <row r="240" spans="1:13" ht="12">
      <c r="A240" s="12"/>
      <c r="D240" s="81"/>
      <c r="E240" s="81"/>
      <c r="F240" s="84"/>
      <c r="G240" s="81"/>
      <c r="H240" s="81"/>
      <c r="I240" s="84"/>
      <c r="J240" s="84"/>
      <c r="K240" s="84"/>
      <c r="L240" s="7"/>
      <c r="M240" s="7"/>
    </row>
    <row r="241" spans="1:13" ht="12">
      <c r="A241" s="12"/>
      <c r="D241" s="81"/>
      <c r="E241" s="81"/>
      <c r="F241" s="84"/>
      <c r="G241" s="81"/>
      <c r="H241" s="81"/>
      <c r="I241" s="84"/>
      <c r="J241" s="84"/>
      <c r="K241" s="84"/>
      <c r="L241" s="7"/>
      <c r="M241" s="7"/>
    </row>
    <row r="242" spans="1:13" ht="12">
      <c r="A242" s="12"/>
      <c r="C242" s="12" t="s">
        <v>175</v>
      </c>
      <c r="D242" s="64">
        <v>2218.1</v>
      </c>
      <c r="E242" s="64">
        <v>235.4</v>
      </c>
      <c r="F242" s="64">
        <f aca="true" t="shared" si="5" ref="F242:F248">D242/E242</f>
        <v>9.42268479184367</v>
      </c>
      <c r="G242" s="29"/>
      <c r="H242" s="29"/>
      <c r="I242" s="64">
        <v>2247.1</v>
      </c>
      <c r="J242" s="64">
        <v>232.1</v>
      </c>
      <c r="K242" s="63">
        <f aca="true" t="shared" si="6" ref="K242:K248">I242/J242</f>
        <v>9.681602757432142</v>
      </c>
      <c r="L242" s="11"/>
      <c r="M242" s="7"/>
    </row>
    <row r="243" spans="1:13" ht="12">
      <c r="A243" s="12"/>
      <c r="D243" s="64"/>
      <c r="E243" s="64"/>
      <c r="F243" s="64"/>
      <c r="G243" s="81"/>
      <c r="H243" s="81"/>
      <c r="I243" s="64"/>
      <c r="J243" s="64"/>
      <c r="K243" s="63"/>
      <c r="L243" s="7"/>
      <c r="M243" s="7"/>
    </row>
    <row r="244" spans="1:13" ht="12">
      <c r="A244" s="12"/>
      <c r="B244" s="12" t="s">
        <v>0</v>
      </c>
      <c r="C244" s="12" t="s">
        <v>176</v>
      </c>
      <c r="D244" s="64">
        <v>94.8</v>
      </c>
      <c r="E244" s="64">
        <v>34</v>
      </c>
      <c r="F244" s="64">
        <f t="shared" si="5"/>
        <v>2.788235294117647</v>
      </c>
      <c r="G244" s="29"/>
      <c r="H244" s="29"/>
      <c r="I244" s="64">
        <v>94.1</v>
      </c>
      <c r="J244" s="64">
        <v>33.7</v>
      </c>
      <c r="K244" s="63">
        <f t="shared" si="6"/>
        <v>2.7922848664688424</v>
      </c>
      <c r="L244" s="11"/>
      <c r="M244" s="7"/>
    </row>
    <row r="245" spans="1:13" ht="12">
      <c r="A245" s="12"/>
      <c r="D245" s="64"/>
      <c r="E245" s="64"/>
      <c r="F245" s="64"/>
      <c r="G245" s="81"/>
      <c r="H245" s="81"/>
      <c r="I245" s="64"/>
      <c r="J245" s="64"/>
      <c r="K245" s="63"/>
      <c r="L245" s="7"/>
      <c r="M245" s="7"/>
    </row>
    <row r="246" spans="1:13" ht="12">
      <c r="A246" s="12"/>
      <c r="C246" s="12" t="s">
        <v>177</v>
      </c>
      <c r="D246" s="64">
        <f>+D242+D244</f>
        <v>2312.9</v>
      </c>
      <c r="E246" s="64">
        <f>+E242+E244</f>
        <v>269.4</v>
      </c>
      <c r="F246" s="64">
        <f t="shared" si="5"/>
        <v>8.585374907201189</v>
      </c>
      <c r="G246" s="82"/>
      <c r="H246" s="82"/>
      <c r="I246" s="64">
        <f>SUM(I242:I244)</f>
        <v>2341.2</v>
      </c>
      <c r="J246" s="64">
        <f>SUM(J242:J244)</f>
        <v>265.8</v>
      </c>
      <c r="K246" s="63">
        <f t="shared" si="6"/>
        <v>8.808126410835213</v>
      </c>
      <c r="L246" s="11"/>
      <c r="M246" s="7"/>
    </row>
    <row r="247" spans="1:13" ht="12">
      <c r="A247" s="12"/>
      <c r="D247" s="64"/>
      <c r="E247" s="64"/>
      <c r="F247" s="64"/>
      <c r="G247" s="81"/>
      <c r="H247" s="81"/>
      <c r="I247" s="81"/>
      <c r="J247" s="81"/>
      <c r="K247" s="63"/>
      <c r="L247" s="7"/>
      <c r="M247" s="7"/>
    </row>
    <row r="248" spans="1:13" ht="12">
      <c r="A248" s="12"/>
      <c r="C248" s="12" t="s">
        <v>178</v>
      </c>
      <c r="D248" s="63">
        <f>SUM(D239,D246)</f>
        <v>8844.4</v>
      </c>
      <c r="E248" s="63">
        <f>SUM(E239,E246)</f>
        <v>611.9</v>
      </c>
      <c r="F248" s="64">
        <f t="shared" si="5"/>
        <v>14.453995750939695</v>
      </c>
      <c r="G248" s="82"/>
      <c r="H248" s="82"/>
      <c r="I248" s="183">
        <f>SUM(I239,I246)</f>
        <v>9272.8</v>
      </c>
      <c r="J248" s="82">
        <f>SUM(J239,J246)</f>
        <v>634.8</v>
      </c>
      <c r="K248" s="63">
        <f t="shared" si="6"/>
        <v>14.60743541272842</v>
      </c>
      <c r="L248" s="11"/>
      <c r="M248" s="7"/>
    </row>
    <row r="249" spans="1:13" ht="12">
      <c r="A249" s="12"/>
      <c r="I249" s="7"/>
      <c r="J249" s="7"/>
      <c r="L249" s="7"/>
      <c r="M249" s="7"/>
    </row>
    <row r="250" spans="1:13" ht="12">
      <c r="A250" s="12"/>
      <c r="I250" s="7"/>
      <c r="J250" s="7"/>
      <c r="L250" s="7"/>
      <c r="M250" s="7"/>
    </row>
    <row r="251" spans="1:13" ht="12">
      <c r="A251" s="12"/>
      <c r="I251" s="7"/>
      <c r="J251" s="7"/>
      <c r="L251" s="7"/>
      <c r="M251" s="7"/>
    </row>
    <row r="252" spans="1:13" ht="12">
      <c r="A252" s="12"/>
      <c r="I252" s="7"/>
      <c r="J252" s="7"/>
      <c r="L252" s="7"/>
      <c r="M252" s="7"/>
    </row>
    <row r="253" spans="1:13" ht="12">
      <c r="A253" s="12"/>
      <c r="C253" s="12" t="s">
        <v>179</v>
      </c>
      <c r="I253" s="7"/>
      <c r="J253" s="7"/>
      <c r="L253" s="7"/>
      <c r="M253" s="7"/>
    </row>
    <row r="254" spans="1:13" ht="12">
      <c r="A254" s="12"/>
      <c r="C254" s="12" t="s">
        <v>180</v>
      </c>
      <c r="I254" s="7"/>
      <c r="J254" s="7"/>
      <c r="L254" s="7"/>
      <c r="M254" s="7"/>
    </row>
    <row r="255" spans="1:13" ht="12">
      <c r="A255" s="12"/>
      <c r="J255" s="55"/>
      <c r="M255" s="55"/>
    </row>
    <row r="256" spans="1:13" ht="12">
      <c r="A256" s="12"/>
      <c r="C256" s="7" t="s">
        <v>607</v>
      </c>
      <c r="J256" s="55"/>
      <c r="M256" s="55"/>
    </row>
    <row r="257" spans="1:13" ht="12">
      <c r="A257" s="12"/>
      <c r="J257" s="55"/>
      <c r="M257" s="55"/>
    </row>
    <row r="258" spans="1:13" ht="12">
      <c r="A258" s="12"/>
      <c r="J258" s="55"/>
      <c r="M258" s="55"/>
    </row>
    <row r="259" spans="1:13" ht="12">
      <c r="A259" s="12"/>
      <c r="J259" s="55"/>
      <c r="M259" s="55"/>
    </row>
    <row r="260" spans="1:13" ht="12">
      <c r="A260" s="12"/>
      <c r="J260" s="55"/>
      <c r="M260" s="55"/>
    </row>
    <row r="261" spans="1:13" ht="12">
      <c r="A261" s="12"/>
      <c r="J261" s="55"/>
      <c r="M261" s="55"/>
    </row>
    <row r="262" spans="1:13" ht="12">
      <c r="A262" s="12"/>
      <c r="J262" s="55"/>
      <c r="M262" s="55"/>
    </row>
    <row r="263" spans="1:13" ht="12">
      <c r="A263" s="12"/>
      <c r="J263" s="55"/>
      <c r="M263" s="55"/>
    </row>
    <row r="264" spans="1:13" ht="12">
      <c r="A264" s="12"/>
      <c r="J264" s="55"/>
      <c r="M264" s="55"/>
    </row>
    <row r="265" spans="1:13" ht="12">
      <c r="A265" s="12"/>
      <c r="J265" s="55"/>
      <c r="M265" s="55"/>
    </row>
    <row r="266" spans="1:13" ht="12">
      <c r="A266" s="12"/>
      <c r="J266" s="55"/>
      <c r="M266" s="55"/>
    </row>
    <row r="267" spans="1:13" ht="12">
      <c r="A267" s="12"/>
      <c r="J267" s="55"/>
      <c r="M267" s="55"/>
    </row>
    <row r="268" spans="1:13" ht="12">
      <c r="A268" s="12"/>
      <c r="J268" s="55"/>
      <c r="M268" s="55"/>
    </row>
    <row r="269" spans="1:13" ht="12">
      <c r="A269" s="12"/>
      <c r="J269" s="55"/>
      <c r="M269" s="55"/>
    </row>
    <row r="270" spans="1:13" ht="12">
      <c r="A270" s="12"/>
      <c r="J270" s="55"/>
      <c r="M270" s="55"/>
    </row>
    <row r="271" spans="1:13" ht="12">
      <c r="A271" s="12"/>
      <c r="J271" s="55"/>
      <c r="M271" s="55"/>
    </row>
    <row r="272" spans="1:13" s="46" customFormat="1" ht="12">
      <c r="A272" s="19" t="str">
        <f>$A$36</f>
        <v>Institution No.:  GFD</v>
      </c>
      <c r="E272" s="51"/>
      <c r="I272" s="52"/>
      <c r="J272" s="53"/>
      <c r="L272" s="52"/>
      <c r="M272" s="18" t="s">
        <v>60</v>
      </c>
    </row>
    <row r="273" spans="5:13" s="46" customFormat="1" ht="12">
      <c r="E273" s="51" t="s">
        <v>213</v>
      </c>
      <c r="I273" s="52"/>
      <c r="J273" s="53"/>
      <c r="L273" s="52"/>
      <c r="M273" s="53"/>
    </row>
    <row r="274" spans="1:13" ht="12">
      <c r="A274" s="19" t="s">
        <v>664</v>
      </c>
      <c r="C274" s="7" t="s">
        <v>665</v>
      </c>
      <c r="F274" s="34"/>
      <c r="G274" s="34"/>
      <c r="H274" s="34"/>
      <c r="I274" s="85"/>
      <c r="J274" s="86"/>
      <c r="L274" s="17"/>
      <c r="M274" s="20" t="str">
        <f>$M$3</f>
        <v>Date: 10/1/2008</v>
      </c>
    </row>
    <row r="275" spans="1:13" ht="12">
      <c r="A275" s="21" t="s">
        <v>1</v>
      </c>
      <c r="B275" s="21" t="s">
        <v>1</v>
      </c>
      <c r="C275" s="21" t="s">
        <v>1</v>
      </c>
      <c r="D275" s="21" t="s">
        <v>1</v>
      </c>
      <c r="E275" s="21" t="s">
        <v>1</v>
      </c>
      <c r="F275" s="21" t="s">
        <v>1</v>
      </c>
      <c r="G275" s="21"/>
      <c r="H275" s="21"/>
      <c r="I275" s="22" t="s">
        <v>1</v>
      </c>
      <c r="J275" s="23" t="s">
        <v>1</v>
      </c>
      <c r="K275" s="21" t="s">
        <v>1</v>
      </c>
      <c r="L275" s="22" t="s">
        <v>1</v>
      </c>
      <c r="M275" s="23" t="s">
        <v>1</v>
      </c>
    </row>
    <row r="276" spans="1:13" ht="12">
      <c r="A276" s="24" t="s">
        <v>2</v>
      </c>
      <c r="E276" s="24" t="s">
        <v>2</v>
      </c>
      <c r="F276" s="25"/>
      <c r="G276" s="26"/>
      <c r="H276" s="25" t="s">
        <v>249</v>
      </c>
      <c r="I276" s="26"/>
      <c r="J276" s="27" t="s">
        <v>251</v>
      </c>
      <c r="K276" s="25"/>
      <c r="L276" s="26"/>
      <c r="M276" s="27" t="s">
        <v>260</v>
      </c>
    </row>
    <row r="277" spans="1:13" ht="12">
      <c r="A277" s="24" t="s">
        <v>4</v>
      </c>
      <c r="C277" s="28" t="s">
        <v>20</v>
      </c>
      <c r="D277" s="87"/>
      <c r="E277" s="24" t="s">
        <v>4</v>
      </c>
      <c r="F277" s="25"/>
      <c r="G277" s="26" t="s">
        <v>6</v>
      </c>
      <c r="H277" s="25" t="s">
        <v>7</v>
      </c>
      <c r="I277" s="26" t="s">
        <v>6</v>
      </c>
      <c r="J277" s="27" t="s">
        <v>7</v>
      </c>
      <c r="K277" s="25"/>
      <c r="L277" s="26" t="s">
        <v>6</v>
      </c>
      <c r="M277" s="27" t="s">
        <v>8</v>
      </c>
    </row>
    <row r="278" spans="1:13" ht="12">
      <c r="A278" s="21" t="s">
        <v>1</v>
      </c>
      <c r="B278" s="21" t="s">
        <v>1</v>
      </c>
      <c r="C278" s="21" t="s">
        <v>1</v>
      </c>
      <c r="D278" s="21" t="s">
        <v>1</v>
      </c>
      <c r="E278" s="21" t="s">
        <v>1</v>
      </c>
      <c r="F278" s="21" t="s">
        <v>1</v>
      </c>
      <c r="G278" s="21"/>
      <c r="H278" s="21"/>
      <c r="I278" s="22" t="s">
        <v>1</v>
      </c>
      <c r="J278" s="23" t="s">
        <v>1</v>
      </c>
      <c r="K278" s="21" t="s">
        <v>1</v>
      </c>
      <c r="L278" s="22" t="s">
        <v>1</v>
      </c>
      <c r="M278" s="23" t="s">
        <v>1</v>
      </c>
    </row>
    <row r="279" spans="1:13" ht="12">
      <c r="A279" s="11">
        <v>1</v>
      </c>
      <c r="C279" s="12" t="s">
        <v>61</v>
      </c>
      <c r="E279" s="11">
        <v>1</v>
      </c>
      <c r="I279" s="17"/>
      <c r="J279" s="55"/>
      <c r="L279" s="17"/>
      <c r="M279" s="55"/>
    </row>
    <row r="280" spans="1:13" ht="12">
      <c r="A280" s="11">
        <f>(A279+1)</f>
        <v>2</v>
      </c>
      <c r="C280" s="12" t="s">
        <v>62</v>
      </c>
      <c r="D280" s="12" t="s">
        <v>263</v>
      </c>
      <c r="E280" s="11">
        <f>(E279+1)</f>
        <v>2</v>
      </c>
      <c r="F280" s="13"/>
      <c r="G280" s="67">
        <v>380.7</v>
      </c>
      <c r="H280" s="2">
        <v>4126139</v>
      </c>
      <c r="I280" s="67">
        <v>379.1</v>
      </c>
      <c r="J280" s="2">
        <v>4261432</v>
      </c>
      <c r="K280" s="2"/>
      <c r="L280" s="67">
        <v>383.65</v>
      </c>
      <c r="M280" s="2">
        <v>4394041</v>
      </c>
    </row>
    <row r="281" spans="1:13" ht="12">
      <c r="A281" s="11">
        <f>(A280+1)</f>
        <v>3</v>
      </c>
      <c r="D281" s="12" t="s">
        <v>264</v>
      </c>
      <c r="E281" s="11">
        <f>(E280+1)</f>
        <v>3</v>
      </c>
      <c r="F281" s="13"/>
      <c r="G281" s="67">
        <v>558.5</v>
      </c>
      <c r="H281" s="2">
        <v>5249780</v>
      </c>
      <c r="I281" s="67">
        <v>566.3</v>
      </c>
      <c r="J281" s="2">
        <v>5550211</v>
      </c>
      <c r="K281" s="2"/>
      <c r="L281" s="67">
        <v>643.35</v>
      </c>
      <c r="M281" s="2">
        <v>5551542</v>
      </c>
    </row>
    <row r="282" spans="1:13" ht="12">
      <c r="A282" s="11">
        <v>4</v>
      </c>
      <c r="C282" s="12" t="s">
        <v>63</v>
      </c>
      <c r="D282" s="12" t="s">
        <v>265</v>
      </c>
      <c r="E282" s="11">
        <v>4</v>
      </c>
      <c r="F282" s="13"/>
      <c r="G282" s="67">
        <v>15.5</v>
      </c>
      <c r="H282" s="2">
        <v>593132</v>
      </c>
      <c r="I282" s="67">
        <v>22.6</v>
      </c>
      <c r="J282" s="2">
        <v>730407</v>
      </c>
      <c r="K282" s="2"/>
      <c r="L282" s="67">
        <v>24.77</v>
      </c>
      <c r="M282" s="2">
        <v>735770</v>
      </c>
    </row>
    <row r="283" spans="1:13" ht="12">
      <c r="A283" s="11">
        <f>(A282+1)</f>
        <v>5</v>
      </c>
      <c r="D283" s="12" t="s">
        <v>266</v>
      </c>
      <c r="E283" s="11">
        <f>(E282+1)</f>
        <v>5</v>
      </c>
      <c r="F283" s="13"/>
      <c r="G283" s="67">
        <v>28</v>
      </c>
      <c r="H283" s="2">
        <v>643570</v>
      </c>
      <c r="I283" s="67">
        <v>29.7</v>
      </c>
      <c r="J283" s="2">
        <v>841794</v>
      </c>
      <c r="K283" s="2"/>
      <c r="L283" s="67">
        <v>56.53</v>
      </c>
      <c r="M283" s="2">
        <v>1108107</v>
      </c>
    </row>
    <row r="284" spans="1:13" ht="12">
      <c r="A284" s="11">
        <f>(A283+1)</f>
        <v>6</v>
      </c>
      <c r="C284" s="12" t="s">
        <v>64</v>
      </c>
      <c r="E284" s="11">
        <f>(E283+1)</f>
        <v>6</v>
      </c>
      <c r="G284" s="64">
        <f>SUM(G279:G283)</f>
        <v>982.7</v>
      </c>
      <c r="H284" s="65">
        <f>SUM(H279:H283)</f>
        <v>10612621</v>
      </c>
      <c r="I284" s="64">
        <f>SUM(I279:I283)</f>
        <v>997.7</v>
      </c>
      <c r="J284" s="65">
        <f>SUM(J279:J283)</f>
        <v>11383844</v>
      </c>
      <c r="K284" s="65"/>
      <c r="L284" s="64">
        <f>SUM(L279:L283)</f>
        <v>1108.3</v>
      </c>
      <c r="M284" s="65">
        <f>SUM(M279:M283)</f>
        <v>11789460</v>
      </c>
    </row>
    <row r="285" spans="1:13" ht="12">
      <c r="A285" s="11">
        <f>(A284+1)</f>
        <v>7</v>
      </c>
      <c r="C285" s="12" t="s">
        <v>65</v>
      </c>
      <c r="E285" s="11">
        <f>(E284+1)</f>
        <v>7</v>
      </c>
      <c r="G285" s="64"/>
      <c r="H285" s="65"/>
      <c r="I285" s="63"/>
      <c r="J285" s="62"/>
      <c r="K285" s="65"/>
      <c r="L285" s="63"/>
      <c r="M285" s="62"/>
    </row>
    <row r="286" spans="1:13" ht="12">
      <c r="A286" s="11">
        <f>(A285+1)</f>
        <v>8</v>
      </c>
      <c r="C286" s="12" t="s">
        <v>62</v>
      </c>
      <c r="D286" s="12" t="s">
        <v>263</v>
      </c>
      <c r="E286" s="11">
        <f>(E285+1)</f>
        <v>8</v>
      </c>
      <c r="F286" s="13"/>
      <c r="G286" s="67">
        <v>856.1</v>
      </c>
      <c r="H286" s="2">
        <v>9064635</v>
      </c>
      <c r="I286" s="67">
        <v>878.4</v>
      </c>
      <c r="J286" s="2">
        <v>9429087</v>
      </c>
      <c r="K286" s="2"/>
      <c r="L286" s="67">
        <v>859.95</v>
      </c>
      <c r="M286" s="2">
        <v>9849165</v>
      </c>
    </row>
    <row r="287" spans="1:13" ht="12">
      <c r="A287" s="11">
        <v>9</v>
      </c>
      <c r="D287" s="12" t="s">
        <v>264</v>
      </c>
      <c r="E287" s="11">
        <v>9</v>
      </c>
      <c r="F287" s="13"/>
      <c r="G287" s="67">
        <v>2860.7</v>
      </c>
      <c r="H287" s="2">
        <v>22489632</v>
      </c>
      <c r="I287" s="67">
        <v>2959.1</v>
      </c>
      <c r="J287" s="2">
        <v>25384293</v>
      </c>
      <c r="K287" s="2"/>
      <c r="L287" s="67">
        <v>3076.58</v>
      </c>
      <c r="M287" s="2">
        <v>27650458</v>
      </c>
    </row>
    <row r="288" spans="1:13" ht="12">
      <c r="A288" s="11">
        <v>10</v>
      </c>
      <c r="C288" s="12" t="s">
        <v>63</v>
      </c>
      <c r="D288" s="12" t="s">
        <v>265</v>
      </c>
      <c r="E288" s="11">
        <v>10</v>
      </c>
      <c r="F288" s="13"/>
      <c r="G288" s="67">
        <v>122.4</v>
      </c>
      <c r="H288" s="2">
        <v>3079295</v>
      </c>
      <c r="I288" s="67">
        <v>141.8</v>
      </c>
      <c r="J288" s="2">
        <f>3623962+10</f>
        <v>3623972</v>
      </c>
      <c r="K288" s="2"/>
      <c r="L288" s="67">
        <v>133.62</v>
      </c>
      <c r="M288" s="2">
        <v>3968440</v>
      </c>
    </row>
    <row r="289" spans="1:13" ht="12">
      <c r="A289" s="11">
        <f>(A288+1)</f>
        <v>11</v>
      </c>
      <c r="D289" s="12" t="s">
        <v>266</v>
      </c>
      <c r="E289" s="11">
        <f>(E288+1)</f>
        <v>11</v>
      </c>
      <c r="F289" s="13"/>
      <c r="G289" s="67">
        <v>179.1</v>
      </c>
      <c r="H289" s="2">
        <v>2906446</v>
      </c>
      <c r="I289" s="67">
        <v>231.6</v>
      </c>
      <c r="J289" s="2">
        <v>4306293</v>
      </c>
      <c r="K289" s="2"/>
      <c r="L289" s="67">
        <v>254.72</v>
      </c>
      <c r="M289" s="2">
        <v>4993033</v>
      </c>
    </row>
    <row r="290" spans="1:13" ht="12">
      <c r="A290" s="11">
        <f>(A289+1)</f>
        <v>12</v>
      </c>
      <c r="C290" s="12" t="s">
        <v>66</v>
      </c>
      <c r="E290" s="11">
        <f>(E289+1)</f>
        <v>12</v>
      </c>
      <c r="G290" s="64">
        <f>SUM(G286:G289)</f>
        <v>4018.2999999999997</v>
      </c>
      <c r="H290" s="65">
        <f>SUM(H286:H289)</f>
        <v>37540008</v>
      </c>
      <c r="I290" s="64">
        <f>SUM(I286:I289)</f>
        <v>4210.900000000001</v>
      </c>
      <c r="J290" s="65">
        <f>SUM(J286:J289)</f>
        <v>42743645</v>
      </c>
      <c r="K290" s="65"/>
      <c r="L290" s="64">
        <f>SUM(L286:L289)</f>
        <v>4324.87</v>
      </c>
      <c r="M290" s="65">
        <f>SUM(M286:M289)</f>
        <v>46461096</v>
      </c>
    </row>
    <row r="291" spans="1:13" ht="12">
      <c r="A291" s="11">
        <f>(A290+1)</f>
        <v>13</v>
      </c>
      <c r="C291" s="12" t="s">
        <v>67</v>
      </c>
      <c r="E291" s="11">
        <f>(E290+1)</f>
        <v>13</v>
      </c>
      <c r="G291" s="64"/>
      <c r="H291" s="65"/>
      <c r="I291" s="63"/>
      <c r="J291" s="62"/>
      <c r="K291" s="65"/>
      <c r="L291" s="63"/>
      <c r="M291" s="62"/>
    </row>
    <row r="292" spans="1:13" ht="12">
      <c r="A292" s="11">
        <f>(A291+1)</f>
        <v>14</v>
      </c>
      <c r="C292" s="12" t="s">
        <v>62</v>
      </c>
      <c r="D292" s="12" t="s">
        <v>263</v>
      </c>
      <c r="E292" s="11">
        <f>(E291+1)</f>
        <v>14</v>
      </c>
      <c r="F292" s="13"/>
      <c r="G292" s="67">
        <v>0</v>
      </c>
      <c r="H292" s="2">
        <v>0</v>
      </c>
      <c r="I292" s="67"/>
      <c r="J292" s="2"/>
      <c r="K292" s="2"/>
      <c r="L292" s="67"/>
      <c r="M292" s="2"/>
    </row>
    <row r="293" spans="1:13" ht="12">
      <c r="A293" s="11">
        <v>15</v>
      </c>
      <c r="C293" s="12"/>
      <c r="D293" s="12" t="s">
        <v>264</v>
      </c>
      <c r="E293" s="11">
        <v>15</v>
      </c>
      <c r="F293" s="13"/>
      <c r="G293" s="67">
        <v>0</v>
      </c>
      <c r="H293" s="2">
        <v>0</v>
      </c>
      <c r="I293" s="67"/>
      <c r="J293" s="2"/>
      <c r="K293" s="2"/>
      <c r="L293" s="67"/>
      <c r="M293" s="2"/>
    </row>
    <row r="294" spans="1:13" ht="12">
      <c r="A294" s="11">
        <v>16</v>
      </c>
      <c r="C294" s="12" t="s">
        <v>63</v>
      </c>
      <c r="D294" s="12" t="s">
        <v>265</v>
      </c>
      <c r="E294" s="11">
        <v>16</v>
      </c>
      <c r="F294" s="13"/>
      <c r="G294" s="67">
        <v>0</v>
      </c>
      <c r="H294" s="2">
        <v>0</v>
      </c>
      <c r="I294" s="67"/>
      <c r="J294" s="2"/>
      <c r="K294" s="2"/>
      <c r="L294" s="67"/>
      <c r="M294" s="2"/>
    </row>
    <row r="295" spans="1:13" ht="12">
      <c r="A295" s="11">
        <v>17</v>
      </c>
      <c r="C295" s="12"/>
      <c r="D295" s="12" t="s">
        <v>266</v>
      </c>
      <c r="E295" s="11">
        <v>17</v>
      </c>
      <c r="G295" s="64">
        <v>0</v>
      </c>
      <c r="H295" s="65">
        <v>0</v>
      </c>
      <c r="I295" s="64"/>
      <c r="J295" s="65"/>
      <c r="K295" s="65"/>
      <c r="L295" s="64"/>
      <c r="M295" s="65"/>
    </row>
    <row r="296" spans="1:13" ht="12">
      <c r="A296" s="11">
        <v>18</v>
      </c>
      <c r="C296" s="12" t="s">
        <v>68</v>
      </c>
      <c r="D296" s="12"/>
      <c r="E296" s="11">
        <v>18</v>
      </c>
      <c r="G296" s="64">
        <f>SUM(G292:G295)</f>
        <v>0</v>
      </c>
      <c r="H296" s="65">
        <f>SUM(H292:H295)</f>
        <v>0</v>
      </c>
      <c r="I296" s="64">
        <f>SUM(I292:I295)</f>
        <v>0</v>
      </c>
      <c r="J296" s="65">
        <f>SUM(J292:J295)</f>
        <v>0</v>
      </c>
      <c r="K296" s="65"/>
      <c r="L296" s="64">
        <f>SUM(L292:L295)</f>
        <v>0</v>
      </c>
      <c r="M296" s="65">
        <f>SUM(M292:M295)</f>
        <v>0</v>
      </c>
    </row>
    <row r="297" spans="1:13" ht="12">
      <c r="A297" s="11">
        <v>19</v>
      </c>
      <c r="C297" s="12" t="s">
        <v>69</v>
      </c>
      <c r="D297" s="12"/>
      <c r="E297" s="11">
        <v>19</v>
      </c>
      <c r="G297" s="64"/>
      <c r="H297" s="65"/>
      <c r="I297" s="64"/>
      <c r="J297" s="65"/>
      <c r="K297" s="65"/>
      <c r="L297" s="64"/>
      <c r="M297" s="65"/>
    </row>
    <row r="298" spans="1:13" ht="12">
      <c r="A298" s="11">
        <v>20</v>
      </c>
      <c r="C298" s="12" t="s">
        <v>62</v>
      </c>
      <c r="D298" s="12" t="s">
        <v>263</v>
      </c>
      <c r="E298" s="11">
        <v>20</v>
      </c>
      <c r="F298" s="88"/>
      <c r="G298" s="67">
        <v>862.4</v>
      </c>
      <c r="H298" s="2">
        <v>9096506</v>
      </c>
      <c r="I298" s="67">
        <v>865.6</v>
      </c>
      <c r="J298" s="2">
        <v>9330618</v>
      </c>
      <c r="K298" s="2"/>
      <c r="L298" s="67">
        <v>854.4</v>
      </c>
      <c r="M298" s="2">
        <v>9785498</v>
      </c>
    </row>
    <row r="299" spans="1:13" ht="12">
      <c r="A299" s="11">
        <v>21</v>
      </c>
      <c r="C299" s="12"/>
      <c r="D299" s="12" t="s">
        <v>264</v>
      </c>
      <c r="E299" s="11">
        <v>21</v>
      </c>
      <c r="F299" s="88"/>
      <c r="G299" s="67">
        <v>2687.6</v>
      </c>
      <c r="H299" s="2">
        <v>21358286</v>
      </c>
      <c r="I299" s="67">
        <v>2835.9</v>
      </c>
      <c r="J299" s="2">
        <v>24375999</v>
      </c>
      <c r="K299" s="2"/>
      <c r="L299" s="67">
        <v>2922.57</v>
      </c>
      <c r="M299" s="2">
        <v>26321489</v>
      </c>
    </row>
    <row r="300" spans="1:13" ht="12">
      <c r="A300" s="11">
        <v>22</v>
      </c>
      <c r="C300" s="12" t="s">
        <v>63</v>
      </c>
      <c r="D300" s="12" t="s">
        <v>265</v>
      </c>
      <c r="E300" s="11">
        <v>22</v>
      </c>
      <c r="F300" s="88"/>
      <c r="G300" s="67">
        <v>117.3</v>
      </c>
      <c r="H300" s="2">
        <v>2922333</v>
      </c>
      <c r="I300" s="67">
        <v>131.1</v>
      </c>
      <c r="J300" s="2">
        <f>3377197</f>
        <v>3377197</v>
      </c>
      <c r="K300" s="2"/>
      <c r="L300" s="67">
        <v>125.41</v>
      </c>
      <c r="M300" s="2">
        <v>3724491</v>
      </c>
    </row>
    <row r="301" spans="1:13" ht="12">
      <c r="A301" s="11">
        <v>23</v>
      </c>
      <c r="D301" s="12" t="s">
        <v>266</v>
      </c>
      <c r="E301" s="11">
        <v>23</v>
      </c>
      <c r="F301" s="88"/>
      <c r="G301" s="64">
        <v>175.8</v>
      </c>
      <c r="H301" s="65">
        <v>2990173</v>
      </c>
      <c r="I301" s="67">
        <v>231.6</v>
      </c>
      <c r="J301" s="2">
        <v>4268573</v>
      </c>
      <c r="K301" s="2"/>
      <c r="L301" s="67">
        <v>242.65</v>
      </c>
      <c r="M301" s="2">
        <v>4756407</v>
      </c>
    </row>
    <row r="302" spans="1:13" ht="12">
      <c r="A302" s="11">
        <v>24</v>
      </c>
      <c r="C302" s="12" t="s">
        <v>70</v>
      </c>
      <c r="E302" s="11">
        <v>24</v>
      </c>
      <c r="F302" s="59"/>
      <c r="G302" s="64">
        <f>SUM(G298:G301)</f>
        <v>3843.1000000000004</v>
      </c>
      <c r="H302" s="65">
        <f>SUM(H298:H301)</f>
        <v>36367298</v>
      </c>
      <c r="I302" s="63">
        <f>SUM(I298:I301)</f>
        <v>4064.2</v>
      </c>
      <c r="J302" s="62">
        <f>SUM(J298:J301)</f>
        <v>41352387</v>
      </c>
      <c r="K302" s="62"/>
      <c r="L302" s="63">
        <f>SUM(L298:L301)</f>
        <v>4145.03</v>
      </c>
      <c r="M302" s="62">
        <f>SUM(M298:M301)</f>
        <v>44587885</v>
      </c>
    </row>
    <row r="303" spans="1:13" ht="12">
      <c r="A303" s="11">
        <v>25</v>
      </c>
      <c r="C303" s="12" t="s">
        <v>71</v>
      </c>
      <c r="E303" s="11">
        <v>25</v>
      </c>
      <c r="G303" s="64"/>
      <c r="H303" s="65"/>
      <c r="I303" s="64"/>
      <c r="J303" s="65"/>
      <c r="K303" s="65"/>
      <c r="L303" s="64"/>
      <c r="M303" s="65"/>
    </row>
    <row r="304" spans="1:13" ht="12">
      <c r="A304" s="11">
        <v>26</v>
      </c>
      <c r="C304" s="12" t="s">
        <v>62</v>
      </c>
      <c r="D304" s="12" t="s">
        <v>263</v>
      </c>
      <c r="E304" s="11">
        <v>26</v>
      </c>
      <c r="G304" s="64">
        <f aca="true" t="shared" si="7" ref="G304:J307">G280+G286+G292+G298</f>
        <v>2099.2</v>
      </c>
      <c r="H304" s="65">
        <f t="shared" si="7"/>
        <v>22287280</v>
      </c>
      <c r="I304" s="64">
        <f t="shared" si="7"/>
        <v>2123.1</v>
      </c>
      <c r="J304" s="65">
        <f t="shared" si="7"/>
        <v>23021137</v>
      </c>
      <c r="K304" s="65"/>
      <c r="L304" s="64">
        <f aca="true" t="shared" si="8" ref="L304:M307">L280+L286+L292+L298</f>
        <v>2098</v>
      </c>
      <c r="M304" s="65">
        <f t="shared" si="8"/>
        <v>24028704</v>
      </c>
    </row>
    <row r="305" spans="1:13" ht="12">
      <c r="A305" s="11">
        <v>27</v>
      </c>
      <c r="C305" s="12"/>
      <c r="D305" s="12" t="s">
        <v>264</v>
      </c>
      <c r="E305" s="11">
        <v>27</v>
      </c>
      <c r="G305" s="64">
        <f t="shared" si="7"/>
        <v>6106.799999999999</v>
      </c>
      <c r="H305" s="65">
        <f t="shared" si="7"/>
        <v>49097698</v>
      </c>
      <c r="I305" s="64">
        <f t="shared" si="7"/>
        <v>6361.299999999999</v>
      </c>
      <c r="J305" s="65">
        <f t="shared" si="7"/>
        <v>55310503</v>
      </c>
      <c r="K305" s="65"/>
      <c r="L305" s="64">
        <f t="shared" si="8"/>
        <v>6642.5</v>
      </c>
      <c r="M305" s="65">
        <f t="shared" si="8"/>
        <v>59523489</v>
      </c>
    </row>
    <row r="306" spans="1:13" ht="12">
      <c r="A306" s="11">
        <v>28</v>
      </c>
      <c r="C306" s="12" t="s">
        <v>63</v>
      </c>
      <c r="D306" s="12" t="s">
        <v>265</v>
      </c>
      <c r="E306" s="11">
        <v>28</v>
      </c>
      <c r="G306" s="64">
        <f t="shared" si="7"/>
        <v>255.2</v>
      </c>
      <c r="H306" s="65">
        <f t="shared" si="7"/>
        <v>6594760</v>
      </c>
      <c r="I306" s="64">
        <f t="shared" si="7"/>
        <v>295.5</v>
      </c>
      <c r="J306" s="65">
        <f t="shared" si="7"/>
        <v>7731576</v>
      </c>
      <c r="K306" s="65"/>
      <c r="L306" s="64">
        <f t="shared" si="8"/>
        <v>283.8</v>
      </c>
      <c r="M306" s="65">
        <f t="shared" si="8"/>
        <v>8428701</v>
      </c>
    </row>
    <row r="307" spans="1:13" ht="12">
      <c r="A307" s="11">
        <v>29</v>
      </c>
      <c r="D307" s="12" t="s">
        <v>266</v>
      </c>
      <c r="E307" s="11">
        <v>29</v>
      </c>
      <c r="G307" s="64">
        <f t="shared" si="7"/>
        <v>382.9</v>
      </c>
      <c r="H307" s="65">
        <f t="shared" si="7"/>
        <v>6540189</v>
      </c>
      <c r="I307" s="64">
        <f t="shared" si="7"/>
        <v>492.9</v>
      </c>
      <c r="J307" s="65">
        <f t="shared" si="7"/>
        <v>9416660</v>
      </c>
      <c r="K307" s="65"/>
      <c r="L307" s="64">
        <f t="shared" si="8"/>
        <v>553.9</v>
      </c>
      <c r="M307" s="65">
        <f t="shared" si="8"/>
        <v>10857547</v>
      </c>
    </row>
    <row r="308" spans="1:13" ht="12">
      <c r="A308" s="11">
        <v>30</v>
      </c>
      <c r="E308" s="11">
        <v>30</v>
      </c>
      <c r="G308" s="64"/>
      <c r="H308" s="65"/>
      <c r="I308" s="63"/>
      <c r="J308" s="62"/>
      <c r="K308" s="65"/>
      <c r="L308" s="63"/>
      <c r="M308" s="62"/>
    </row>
    <row r="309" spans="1:13" ht="12">
      <c r="A309" s="11">
        <v>31</v>
      </c>
      <c r="C309" s="12" t="s">
        <v>72</v>
      </c>
      <c r="E309" s="11">
        <v>31</v>
      </c>
      <c r="G309" s="64">
        <f>SUM(G304:G305)</f>
        <v>8206</v>
      </c>
      <c r="H309" s="65">
        <f>SUM(H304:H305)</f>
        <v>71384978</v>
      </c>
      <c r="I309" s="64">
        <f>SUM(I304:I305)</f>
        <v>8484.4</v>
      </c>
      <c r="J309" s="65">
        <f>SUM(J304:J305)</f>
        <v>78331640</v>
      </c>
      <c r="K309" s="65"/>
      <c r="L309" s="64">
        <f>SUM(L304:L305)</f>
        <v>8740.5</v>
      </c>
      <c r="M309" s="65">
        <f>SUM(M304:M305)</f>
        <v>83552193</v>
      </c>
    </row>
    <row r="310" spans="1:13" ht="12">
      <c r="A310" s="11">
        <v>32</v>
      </c>
      <c r="C310" s="12" t="s">
        <v>73</v>
      </c>
      <c r="E310" s="11">
        <v>32</v>
      </c>
      <c r="G310" s="64">
        <f>SUM(G306:G307)</f>
        <v>638.0999999999999</v>
      </c>
      <c r="H310" s="65">
        <f>SUM(H306:H307)</f>
        <v>13134949</v>
      </c>
      <c r="I310" s="64">
        <f>SUM(I306:I307)</f>
        <v>788.4</v>
      </c>
      <c r="J310" s="65">
        <f>SUM(J306:J307)</f>
        <v>17148236</v>
      </c>
      <c r="K310" s="65"/>
      <c r="L310" s="64">
        <f>SUM(L306:L307)</f>
        <v>837.7</v>
      </c>
      <c r="M310" s="65">
        <f>SUM(M306:M307)</f>
        <v>19286248</v>
      </c>
    </row>
    <row r="311" spans="1:13" ht="12">
      <c r="A311" s="11">
        <v>33</v>
      </c>
      <c r="C311" s="12" t="s">
        <v>74</v>
      </c>
      <c r="E311" s="11">
        <v>33</v>
      </c>
      <c r="F311" s="59"/>
      <c r="G311" s="63">
        <f aca="true" t="shared" si="9" ref="G311:J312">SUM(G304,G306)</f>
        <v>2354.3999999999996</v>
      </c>
      <c r="H311" s="62">
        <f t="shared" si="9"/>
        <v>28882040</v>
      </c>
      <c r="I311" s="63">
        <f t="shared" si="9"/>
        <v>2418.6</v>
      </c>
      <c r="J311" s="62">
        <f t="shared" si="9"/>
        <v>30752713</v>
      </c>
      <c r="K311" s="62"/>
      <c r="L311" s="63">
        <f>SUM(L304,L306)</f>
        <v>2381.8</v>
      </c>
      <c r="M311" s="62">
        <f>SUM(M304,M306)</f>
        <v>32457405</v>
      </c>
    </row>
    <row r="312" spans="1:13" ht="12">
      <c r="A312" s="11">
        <v>34</v>
      </c>
      <c r="C312" s="12" t="s">
        <v>218</v>
      </c>
      <c r="E312" s="11">
        <v>34</v>
      </c>
      <c r="F312" s="59"/>
      <c r="G312" s="63">
        <f>SUM(G305,G307)</f>
        <v>6489.699999999999</v>
      </c>
      <c r="H312" s="62">
        <f t="shared" si="9"/>
        <v>55637887</v>
      </c>
      <c r="I312" s="63">
        <f t="shared" si="9"/>
        <v>6854.199999999999</v>
      </c>
      <c r="J312" s="62">
        <f t="shared" si="9"/>
        <v>64727163</v>
      </c>
      <c r="K312" s="62"/>
      <c r="L312" s="63">
        <f>SUM(L305,L307)</f>
        <v>7196.4</v>
      </c>
      <c r="M312" s="62">
        <f>SUM(M305,M307)</f>
        <v>70381036</v>
      </c>
    </row>
    <row r="313" spans="1:13" ht="12">
      <c r="A313" s="12"/>
      <c r="C313" s="21" t="s">
        <v>1</v>
      </c>
      <c r="D313" s="21" t="s">
        <v>1</v>
      </c>
      <c r="E313" s="21" t="s">
        <v>1</v>
      </c>
      <c r="F313" s="21" t="s">
        <v>1</v>
      </c>
      <c r="G313" s="89"/>
      <c r="H313" s="21"/>
      <c r="I313" s="21" t="s">
        <v>1</v>
      </c>
      <c r="J313" s="21" t="s">
        <v>1</v>
      </c>
      <c r="K313" s="21" t="s">
        <v>1</v>
      </c>
      <c r="L313" s="21" t="s">
        <v>1</v>
      </c>
      <c r="M313" s="21"/>
    </row>
    <row r="314" spans="1:13" ht="12">
      <c r="A314" s="11">
        <v>35</v>
      </c>
      <c r="C314" s="7" t="s">
        <v>75</v>
      </c>
      <c r="E314" s="11">
        <v>35</v>
      </c>
      <c r="G314" s="64">
        <f>SUM(G311:G312)</f>
        <v>8844.099999999999</v>
      </c>
      <c r="H314" s="65">
        <f>SUM(H311:H312)</f>
        <v>84519927</v>
      </c>
      <c r="I314" s="64">
        <f>SUM(I311:I312)</f>
        <v>9272.8</v>
      </c>
      <c r="J314" s="65">
        <f>SUM(J311:J312)</f>
        <v>95479876</v>
      </c>
      <c r="K314" s="65"/>
      <c r="L314" s="64">
        <f>SUM(L311:L312)</f>
        <v>9578.2</v>
      </c>
      <c r="M314" s="65">
        <f>SUM(M311:M312)</f>
        <v>102838441</v>
      </c>
    </row>
    <row r="315" spans="3:13" ht="12">
      <c r="C315" s="12" t="s">
        <v>276</v>
      </c>
      <c r="F315" s="90" t="s">
        <v>1</v>
      </c>
      <c r="G315" s="90"/>
      <c r="H315" s="90"/>
      <c r="I315" s="22"/>
      <c r="J315" s="23"/>
      <c r="K315" s="90"/>
      <c r="L315" s="22"/>
      <c r="M315" s="23"/>
    </row>
    <row r="316" spans="3:13" ht="12">
      <c r="C316" s="12"/>
      <c r="F316" s="90"/>
      <c r="G316" s="90"/>
      <c r="H316" s="90"/>
      <c r="I316" s="22"/>
      <c r="J316" s="23"/>
      <c r="K316" s="90"/>
      <c r="L316" s="22"/>
      <c r="M316" s="23"/>
    </row>
    <row r="317" spans="1:13" ht="36" customHeight="1">
      <c r="A317" s="7">
        <v>36</v>
      </c>
      <c r="C317" s="215" t="s">
        <v>278</v>
      </c>
      <c r="E317" s="7">
        <v>36</v>
      </c>
      <c r="F317" s="90"/>
      <c r="G317" s="90"/>
      <c r="H317" s="146">
        <v>12233800</v>
      </c>
      <c r="I317" s="146"/>
      <c r="J317" s="9">
        <f>14387240+763282</f>
        <v>15150522</v>
      </c>
      <c r="K317" s="146"/>
      <c r="L317" s="146"/>
      <c r="M317" s="175">
        <f>17615950+850603</f>
        <v>18466553</v>
      </c>
    </row>
    <row r="318" spans="3:13" ht="12">
      <c r="C318" s="7" t="s">
        <v>214</v>
      </c>
      <c r="F318" s="90"/>
      <c r="G318" s="90"/>
      <c r="H318" s="90"/>
      <c r="I318" s="22"/>
      <c r="J318" s="55"/>
      <c r="K318" s="90"/>
      <c r="L318" s="22"/>
      <c r="M318" s="55"/>
    </row>
    <row r="319" ht="12">
      <c r="A319" s="12"/>
    </row>
    <row r="320" spans="1:13" s="46" customFormat="1" ht="12">
      <c r="A320" s="19" t="str">
        <f>$A$36</f>
        <v>Institution No.:  GFD</v>
      </c>
      <c r="E320" s="51"/>
      <c r="I320" s="52"/>
      <c r="J320" s="53"/>
      <c r="L320" s="52"/>
      <c r="M320" s="91" t="s">
        <v>76</v>
      </c>
    </row>
    <row r="321" spans="4:13" s="46" customFormat="1" ht="12">
      <c r="D321" s="60" t="s">
        <v>279</v>
      </c>
      <c r="E321" s="51"/>
      <c r="I321" s="52"/>
      <c r="J321" s="53"/>
      <c r="L321" s="52"/>
      <c r="M321" s="53"/>
    </row>
    <row r="322" spans="1:13" ht="12">
      <c r="A322" s="19" t="s">
        <v>664</v>
      </c>
      <c r="C322" s="7" t="s">
        <v>665</v>
      </c>
      <c r="F322" s="92"/>
      <c r="G322" s="92"/>
      <c r="H322" s="92"/>
      <c r="I322" s="85"/>
      <c r="J322" s="86"/>
      <c r="L322" s="17"/>
      <c r="M322" s="20" t="str">
        <f>$M$3</f>
        <v>Date: 10/1/2008</v>
      </c>
    </row>
    <row r="323" spans="1:13" ht="12">
      <c r="A323" s="21" t="s">
        <v>1</v>
      </c>
      <c r="B323" s="21" t="s">
        <v>1</v>
      </c>
      <c r="C323" s="21" t="s">
        <v>1</v>
      </c>
      <c r="D323" s="21" t="s">
        <v>1</v>
      </c>
      <c r="E323" s="21" t="s">
        <v>1</v>
      </c>
      <c r="F323" s="21" t="s">
        <v>1</v>
      </c>
      <c r="G323" s="21"/>
      <c r="H323" s="21"/>
      <c r="I323" s="22" t="s">
        <v>1</v>
      </c>
      <c r="J323" s="23" t="s">
        <v>1</v>
      </c>
      <c r="K323" s="21" t="s">
        <v>1</v>
      </c>
      <c r="L323" s="22" t="s">
        <v>1</v>
      </c>
      <c r="M323" s="23" t="s">
        <v>1</v>
      </c>
    </row>
    <row r="324" spans="1:13" ht="12">
      <c r="A324" s="24" t="s">
        <v>2</v>
      </c>
      <c r="E324" s="24" t="s">
        <v>2</v>
      </c>
      <c r="H324" s="25" t="s">
        <v>249</v>
      </c>
      <c r="I324" s="26"/>
      <c r="J324" s="27" t="s">
        <v>251</v>
      </c>
      <c r="K324" s="25"/>
      <c r="L324" s="26"/>
      <c r="M324" s="27" t="s">
        <v>260</v>
      </c>
    </row>
    <row r="325" spans="1:13" ht="12">
      <c r="A325" s="24" t="s">
        <v>4</v>
      </c>
      <c r="C325" s="28" t="s">
        <v>20</v>
      </c>
      <c r="E325" s="24" t="s">
        <v>4</v>
      </c>
      <c r="H325" s="27" t="s">
        <v>7</v>
      </c>
      <c r="I325" s="17"/>
      <c r="J325" s="27" t="s">
        <v>7</v>
      </c>
      <c r="L325" s="17"/>
      <c r="M325" s="27" t="s">
        <v>8</v>
      </c>
    </row>
    <row r="326" spans="1:13" ht="12">
      <c r="A326" s="21" t="s">
        <v>1</v>
      </c>
      <c r="B326" s="21" t="s">
        <v>1</v>
      </c>
      <c r="C326" s="21" t="s">
        <v>1</v>
      </c>
      <c r="D326" s="21" t="s">
        <v>1</v>
      </c>
      <c r="E326" s="21" t="s">
        <v>1</v>
      </c>
      <c r="F326" s="21" t="s">
        <v>1</v>
      </c>
      <c r="G326" s="21"/>
      <c r="H326" s="21"/>
      <c r="I326" s="22" t="s">
        <v>1</v>
      </c>
      <c r="J326" s="23" t="s">
        <v>1</v>
      </c>
      <c r="K326" s="21" t="s">
        <v>1</v>
      </c>
      <c r="L326" s="22" t="s">
        <v>1</v>
      </c>
      <c r="M326" s="23" t="s">
        <v>1</v>
      </c>
    </row>
    <row r="327" spans="1:13" ht="12">
      <c r="A327" s="93">
        <v>1</v>
      </c>
      <c r="C327" s="12" t="s">
        <v>280</v>
      </c>
      <c r="E327" s="93">
        <v>1</v>
      </c>
      <c r="H327" s="2">
        <v>4174096</v>
      </c>
      <c r="I327" s="2"/>
      <c r="J327" s="2">
        <v>4688915</v>
      </c>
      <c r="K327" s="2"/>
      <c r="L327" s="2"/>
      <c r="M327" s="2">
        <v>5880007</v>
      </c>
    </row>
    <row r="328" spans="1:13" ht="12">
      <c r="A328" s="93"/>
      <c r="C328" s="12"/>
      <c r="E328" s="93"/>
      <c r="I328" s="17"/>
      <c r="J328" s="55"/>
      <c r="L328" s="17"/>
      <c r="M328" s="55"/>
    </row>
    <row r="329" spans="6:13" ht="12">
      <c r="F329" s="90" t="s">
        <v>1</v>
      </c>
      <c r="G329" s="90"/>
      <c r="H329" s="90"/>
      <c r="I329" s="22" t="s">
        <v>1</v>
      </c>
      <c r="J329" s="23"/>
      <c r="K329" s="90"/>
      <c r="L329" s="22"/>
      <c r="M329" s="23"/>
    </row>
    <row r="330" spans="1:13" ht="12">
      <c r="A330" s="93"/>
      <c r="E330" s="93"/>
      <c r="F330" s="90" t="s">
        <v>1</v>
      </c>
      <c r="G330" s="90"/>
      <c r="H330" s="90"/>
      <c r="I330" s="22" t="s">
        <v>1</v>
      </c>
      <c r="J330" s="23"/>
      <c r="K330" s="90"/>
      <c r="L330" s="22"/>
      <c r="M330" s="23"/>
    </row>
    <row r="331" spans="1:13" ht="12">
      <c r="A331" s="93"/>
      <c r="C331" s="94"/>
      <c r="D331" s="95"/>
      <c r="E331" s="93"/>
      <c r="H331" s="65"/>
      <c r="I331" s="62"/>
      <c r="J331" s="62"/>
      <c r="K331" s="65"/>
      <c r="L331" s="62"/>
      <c r="M331" s="62"/>
    </row>
    <row r="332" spans="1:13" ht="12">
      <c r="A332" s="93">
        <v>16</v>
      </c>
      <c r="C332" s="7" t="s">
        <v>270</v>
      </c>
      <c r="E332" s="93">
        <v>16</v>
      </c>
      <c r="H332" s="65">
        <v>-4930</v>
      </c>
      <c r="I332" s="62"/>
      <c r="J332" s="62">
        <v>-552349</v>
      </c>
      <c r="K332" s="65"/>
      <c r="L332" s="62"/>
      <c r="M332" s="62"/>
    </row>
    <row r="333" spans="1:13" ht="12">
      <c r="A333" s="93">
        <v>17</v>
      </c>
      <c r="C333" s="12" t="s">
        <v>0</v>
      </c>
      <c r="E333" s="93">
        <v>17</v>
      </c>
      <c r="F333" s="13"/>
      <c r="G333" s="13"/>
      <c r="H333" s="2"/>
      <c r="I333" s="2"/>
      <c r="J333" s="2"/>
      <c r="K333" s="2"/>
      <c r="L333" s="2"/>
      <c r="M333" s="2"/>
    </row>
    <row r="334" spans="1:13" ht="12">
      <c r="A334" s="93">
        <v>18</v>
      </c>
      <c r="E334" s="93">
        <v>18</v>
      </c>
      <c r="H334" s="65"/>
      <c r="I334" s="65"/>
      <c r="J334" s="65"/>
      <c r="K334" s="65"/>
      <c r="L334" s="65"/>
      <c r="M334" s="65"/>
    </row>
    <row r="335" spans="1:13" ht="12">
      <c r="A335" s="93">
        <v>19</v>
      </c>
      <c r="E335" s="93">
        <v>19</v>
      </c>
      <c r="H335" s="65"/>
      <c r="I335" s="65"/>
      <c r="J335" s="65"/>
      <c r="K335" s="65"/>
      <c r="L335" s="65"/>
      <c r="M335" s="65"/>
    </row>
    <row r="336" spans="1:13" ht="12">
      <c r="A336" s="93"/>
      <c r="C336" s="94"/>
      <c r="E336" s="93"/>
      <c r="F336" s="90" t="s">
        <v>1</v>
      </c>
      <c r="G336" s="90"/>
      <c r="H336" s="90"/>
      <c r="I336" s="22" t="s">
        <v>1</v>
      </c>
      <c r="J336" s="23" t="s">
        <v>1</v>
      </c>
      <c r="K336" s="90" t="s">
        <v>1</v>
      </c>
      <c r="L336" s="22" t="s">
        <v>1</v>
      </c>
      <c r="M336" s="23" t="s">
        <v>1</v>
      </c>
    </row>
    <row r="337" spans="1:13" ht="12">
      <c r="A337" s="93">
        <v>20</v>
      </c>
      <c r="C337" s="94" t="s">
        <v>83</v>
      </c>
      <c r="E337" s="93">
        <v>20</v>
      </c>
      <c r="H337" s="65">
        <f>H327+H332</f>
        <v>4169166</v>
      </c>
      <c r="I337" s="62"/>
      <c r="J337" s="65">
        <f>J327+J332</f>
        <v>4136566</v>
      </c>
      <c r="K337" s="65"/>
      <c r="L337" s="62"/>
      <c r="M337" s="65">
        <f>M327+M332</f>
        <v>5880007</v>
      </c>
    </row>
    <row r="338" spans="1:13" ht="12">
      <c r="A338" s="96"/>
      <c r="C338" s="12"/>
      <c r="E338" s="50"/>
      <c r="F338" s="90" t="s">
        <v>1</v>
      </c>
      <c r="G338" s="90"/>
      <c r="H338" s="90"/>
      <c r="I338" s="22" t="s">
        <v>1</v>
      </c>
      <c r="J338" s="23" t="s">
        <v>1</v>
      </c>
      <c r="K338" s="90" t="s">
        <v>1</v>
      </c>
      <c r="L338" s="22" t="s">
        <v>1</v>
      </c>
      <c r="M338" s="23" t="s">
        <v>1</v>
      </c>
    </row>
    <row r="339" spans="6:13" ht="12">
      <c r="F339" s="90"/>
      <c r="G339" s="90"/>
      <c r="H339" s="90"/>
      <c r="I339" s="22"/>
      <c r="J339" s="55"/>
      <c r="K339" s="90"/>
      <c r="L339" s="22"/>
      <c r="M339" s="55"/>
    </row>
    <row r="340" ht="12">
      <c r="A340" s="12"/>
    </row>
    <row r="341" spans="1:13" s="46" customFormat="1" ht="12">
      <c r="A341" s="19" t="str">
        <f>$A$36</f>
        <v>Institution No.:  GFD</v>
      </c>
      <c r="E341" s="51"/>
      <c r="I341" s="52"/>
      <c r="J341" s="53"/>
      <c r="L341" s="52"/>
      <c r="M341" s="18" t="s">
        <v>78</v>
      </c>
    </row>
    <row r="342" spans="4:13" s="46" customFormat="1" ht="12">
      <c r="D342" s="60" t="s">
        <v>282</v>
      </c>
      <c r="E342" s="51"/>
      <c r="I342" s="52"/>
      <c r="J342" s="53"/>
      <c r="L342" s="52"/>
      <c r="M342" s="53"/>
    </row>
    <row r="343" spans="1:13" ht="12">
      <c r="A343" s="19" t="s">
        <v>664</v>
      </c>
      <c r="C343" s="7" t="s">
        <v>665</v>
      </c>
      <c r="F343" s="92"/>
      <c r="G343" s="92"/>
      <c r="H343" s="92"/>
      <c r="I343" s="85"/>
      <c r="J343" s="55"/>
      <c r="L343" s="17"/>
      <c r="M343" s="20" t="str">
        <f>$M$3</f>
        <v>Date: 10/1/2008</v>
      </c>
    </row>
    <row r="344" spans="1:13" ht="12">
      <c r="A344" s="21" t="s">
        <v>1</v>
      </c>
      <c r="B344" s="21" t="s">
        <v>1</v>
      </c>
      <c r="C344" s="21" t="s">
        <v>1</v>
      </c>
      <c r="D344" s="21" t="s">
        <v>1</v>
      </c>
      <c r="E344" s="21" t="s">
        <v>1</v>
      </c>
      <c r="F344" s="21" t="s">
        <v>1</v>
      </c>
      <c r="G344" s="21"/>
      <c r="H344" s="21"/>
      <c r="I344" s="22" t="s">
        <v>1</v>
      </c>
      <c r="J344" s="23" t="s">
        <v>1</v>
      </c>
      <c r="K344" s="21" t="s">
        <v>1</v>
      </c>
      <c r="L344" s="22" t="s">
        <v>1</v>
      </c>
      <c r="M344" s="23" t="s">
        <v>1</v>
      </c>
    </row>
    <row r="345" spans="1:13" ht="12">
      <c r="A345" s="24" t="s">
        <v>2</v>
      </c>
      <c r="E345" s="24" t="s">
        <v>2</v>
      </c>
      <c r="H345" s="25" t="s">
        <v>249</v>
      </c>
      <c r="I345" s="26"/>
      <c r="J345" s="27" t="s">
        <v>251</v>
      </c>
      <c r="K345" s="25"/>
      <c r="L345" s="26"/>
      <c r="M345" s="27" t="s">
        <v>260</v>
      </c>
    </row>
    <row r="346" spans="1:13" ht="12">
      <c r="A346" s="24" t="s">
        <v>4</v>
      </c>
      <c r="C346" s="28" t="s">
        <v>20</v>
      </c>
      <c r="E346" s="24" t="s">
        <v>4</v>
      </c>
      <c r="H346" s="27" t="s">
        <v>7</v>
      </c>
      <c r="I346" s="17"/>
      <c r="J346" s="27" t="s">
        <v>7</v>
      </c>
      <c r="L346" s="17"/>
      <c r="M346" s="27" t="s">
        <v>8</v>
      </c>
    </row>
    <row r="347" spans="1:13" ht="12">
      <c r="A347" s="21" t="s">
        <v>1</v>
      </c>
      <c r="B347" s="21" t="s">
        <v>1</v>
      </c>
      <c r="C347" s="21" t="s">
        <v>1</v>
      </c>
      <c r="D347" s="21" t="s">
        <v>1</v>
      </c>
      <c r="E347" s="21" t="s">
        <v>1</v>
      </c>
      <c r="F347" s="21" t="s">
        <v>1</v>
      </c>
      <c r="G347" s="21"/>
      <c r="H347" s="21"/>
      <c r="I347" s="22" t="s">
        <v>1</v>
      </c>
      <c r="J347" s="23" t="s">
        <v>1</v>
      </c>
      <c r="K347" s="21" t="s">
        <v>1</v>
      </c>
      <c r="L347" s="22" t="s">
        <v>1</v>
      </c>
      <c r="M347" s="23" t="s">
        <v>1</v>
      </c>
    </row>
    <row r="348" spans="1:13" ht="12">
      <c r="A348" s="93">
        <v>1</v>
      </c>
      <c r="C348" s="12" t="s">
        <v>84</v>
      </c>
      <c r="E348" s="93">
        <v>1</v>
      </c>
      <c r="H348" s="65"/>
      <c r="I348" s="62"/>
      <c r="J348" s="62"/>
      <c r="K348" s="65"/>
      <c r="L348" s="62"/>
      <c r="M348" s="62"/>
    </row>
    <row r="349" spans="1:13" ht="12">
      <c r="A349" s="93"/>
      <c r="C349" s="12"/>
      <c r="E349" s="93"/>
      <c r="H349" s="65"/>
      <c r="I349" s="62"/>
      <c r="J349" s="62"/>
      <c r="K349" s="65"/>
      <c r="L349" s="62"/>
      <c r="M349" s="62"/>
    </row>
    <row r="350" spans="1:13" ht="12">
      <c r="A350" s="93">
        <f>(A348+1)</f>
        <v>2</v>
      </c>
      <c r="C350" s="13" t="s">
        <v>79</v>
      </c>
      <c r="E350" s="93">
        <f>(E348+1)</f>
        <v>2</v>
      </c>
      <c r="F350" s="13"/>
      <c r="G350" s="13"/>
      <c r="H350" s="2">
        <v>2482013</v>
      </c>
      <c r="I350" s="2"/>
      <c r="J350" s="2">
        <v>2571409</v>
      </c>
      <c r="K350" s="2"/>
      <c r="L350" s="2"/>
      <c r="M350" s="2">
        <v>2500000</v>
      </c>
    </row>
    <row r="351" spans="1:13" ht="12">
      <c r="A351" s="93">
        <f aca="true" t="shared" si="10" ref="A351:A356">(A350+1)</f>
        <v>3</v>
      </c>
      <c r="C351" s="13" t="s">
        <v>80</v>
      </c>
      <c r="E351" s="93">
        <f aca="true" t="shared" si="11" ref="E351:E356">(E350+1)</f>
        <v>3</v>
      </c>
      <c r="F351" s="13"/>
      <c r="G351" s="13"/>
      <c r="H351" s="2">
        <v>0</v>
      </c>
      <c r="I351" s="2"/>
      <c r="J351" s="2">
        <v>0</v>
      </c>
      <c r="K351" s="2"/>
      <c r="L351" s="2"/>
      <c r="M351" s="2">
        <v>0</v>
      </c>
    </row>
    <row r="352" spans="1:13" ht="12">
      <c r="A352" s="93">
        <f t="shared" si="10"/>
        <v>4</v>
      </c>
      <c r="C352" s="13" t="s">
        <v>231</v>
      </c>
      <c r="E352" s="93">
        <f t="shared" si="11"/>
        <v>4</v>
      </c>
      <c r="F352" s="13"/>
      <c r="G352" s="13"/>
      <c r="H352" s="2"/>
      <c r="I352" s="2"/>
      <c r="J352" s="2"/>
      <c r="K352" s="2"/>
      <c r="L352" s="2"/>
      <c r="M352" s="2"/>
    </row>
    <row r="353" spans="1:13" ht="12">
      <c r="A353" s="93">
        <f t="shared" si="10"/>
        <v>5</v>
      </c>
      <c r="C353" s="13" t="s">
        <v>271</v>
      </c>
      <c r="E353" s="93">
        <f t="shared" si="11"/>
        <v>5</v>
      </c>
      <c r="F353" s="13"/>
      <c r="G353" s="13"/>
      <c r="H353" s="2"/>
      <c r="I353" s="2"/>
      <c r="J353" s="2"/>
      <c r="K353" s="2"/>
      <c r="L353" s="2"/>
      <c r="M353" s="2"/>
    </row>
    <row r="354" spans="1:13" ht="12">
      <c r="A354" s="93">
        <f t="shared" si="10"/>
        <v>6</v>
      </c>
      <c r="C354" s="13" t="s">
        <v>272</v>
      </c>
      <c r="E354" s="93">
        <f t="shared" si="11"/>
        <v>6</v>
      </c>
      <c r="F354" s="13"/>
      <c r="G354" s="13"/>
      <c r="H354" s="2"/>
      <c r="I354" s="2"/>
      <c r="J354" s="2"/>
      <c r="K354" s="2"/>
      <c r="L354" s="2"/>
      <c r="M354" s="2"/>
    </row>
    <row r="355" spans="1:13" ht="12">
      <c r="A355" s="93">
        <f t="shared" si="10"/>
        <v>7</v>
      </c>
      <c r="C355" s="13" t="s">
        <v>230</v>
      </c>
      <c r="E355" s="93">
        <f t="shared" si="11"/>
        <v>7</v>
      </c>
      <c r="F355" s="13"/>
      <c r="G355" s="13"/>
      <c r="H355" s="2">
        <v>-35636</v>
      </c>
      <c r="I355" s="2"/>
      <c r="J355" s="2">
        <v>373813</v>
      </c>
      <c r="K355" s="2"/>
      <c r="L355" s="2"/>
      <c r="M355" s="2"/>
    </row>
    <row r="356" spans="1:13" ht="12">
      <c r="A356" s="93">
        <f t="shared" si="10"/>
        <v>8</v>
      </c>
      <c r="C356" s="13" t="s">
        <v>274</v>
      </c>
      <c r="E356" s="93">
        <f t="shared" si="11"/>
        <v>8</v>
      </c>
      <c r="F356" s="13"/>
      <c r="G356" s="13"/>
      <c r="H356" s="2"/>
      <c r="I356" s="2"/>
      <c r="J356" s="2"/>
      <c r="K356" s="2"/>
      <c r="L356" s="2"/>
      <c r="M356" s="2"/>
    </row>
    <row r="357" spans="1:13" ht="12">
      <c r="A357" s="93"/>
      <c r="E357" s="93"/>
      <c r="F357" s="13"/>
      <c r="G357" s="13"/>
      <c r="H357" s="2"/>
      <c r="I357" s="2"/>
      <c r="J357" s="2"/>
      <c r="K357" s="2"/>
      <c r="L357" s="2"/>
      <c r="M357" s="2"/>
    </row>
    <row r="358" spans="1:13" ht="12">
      <c r="A358" s="93">
        <v>9</v>
      </c>
      <c r="C358" s="13"/>
      <c r="E358" s="93"/>
      <c r="F358" s="90" t="s">
        <v>1</v>
      </c>
      <c r="G358" s="90"/>
      <c r="H358" s="90"/>
      <c r="I358" s="22" t="s">
        <v>1</v>
      </c>
      <c r="J358" s="23"/>
      <c r="K358" s="90"/>
      <c r="L358" s="22"/>
      <c r="M358" s="23"/>
    </row>
    <row r="359" spans="1:13" ht="12">
      <c r="A359" s="93"/>
      <c r="C359" s="13"/>
      <c r="E359" s="93"/>
      <c r="F359" s="90"/>
      <c r="G359" s="90"/>
      <c r="H359" s="90"/>
      <c r="I359" s="22"/>
      <c r="J359" s="23"/>
      <c r="K359" s="90"/>
      <c r="L359" s="22"/>
      <c r="M359" s="23"/>
    </row>
    <row r="360" spans="1:13" ht="12">
      <c r="A360" s="93">
        <v>10</v>
      </c>
      <c r="C360" s="7" t="s">
        <v>77</v>
      </c>
      <c r="E360" s="93">
        <v>9</v>
      </c>
      <c r="F360" s="13"/>
      <c r="G360" s="13"/>
      <c r="H360" s="2">
        <f>SUM(H350:H358)</f>
        <v>2446377</v>
      </c>
      <c r="I360" s="2"/>
      <c r="J360" s="2">
        <f>SUM(J350:J358)</f>
        <v>2945222</v>
      </c>
      <c r="K360" s="2"/>
      <c r="L360" s="2"/>
      <c r="M360" s="2">
        <f>SUM(M350:M358)</f>
        <v>2500000</v>
      </c>
    </row>
    <row r="361" spans="1:13" ht="12">
      <c r="A361" s="93"/>
      <c r="C361" s="13"/>
      <c r="E361" s="93"/>
      <c r="F361" s="13"/>
      <c r="G361" s="13"/>
      <c r="H361" s="2"/>
      <c r="I361" s="2"/>
      <c r="J361" s="2"/>
      <c r="K361" s="2"/>
      <c r="L361" s="2"/>
      <c r="M361" s="2"/>
    </row>
    <row r="362" spans="1:13" ht="12">
      <c r="A362" s="93">
        <v>11</v>
      </c>
      <c r="C362" s="13" t="s">
        <v>215</v>
      </c>
      <c r="E362" s="93">
        <v>10</v>
      </c>
      <c r="F362" s="13"/>
      <c r="G362" s="13"/>
      <c r="H362" s="2">
        <v>446191</v>
      </c>
      <c r="I362" s="2"/>
      <c r="J362" s="2">
        <v>971877</v>
      </c>
      <c r="K362" s="2"/>
      <c r="L362" s="2"/>
      <c r="M362" s="2">
        <v>725452</v>
      </c>
    </row>
    <row r="363" spans="1:13" ht="12">
      <c r="A363" s="93">
        <v>12</v>
      </c>
      <c r="C363" s="13" t="s">
        <v>81</v>
      </c>
      <c r="E363" s="93">
        <v>11</v>
      </c>
      <c r="F363" s="13"/>
      <c r="G363" s="13"/>
      <c r="H363" s="2"/>
      <c r="I363" s="2"/>
      <c r="J363" s="2"/>
      <c r="K363" s="2"/>
      <c r="L363" s="2"/>
      <c r="M363" s="2">
        <v>0</v>
      </c>
    </row>
    <row r="364" spans="1:13" ht="12">
      <c r="A364" s="93">
        <v>13</v>
      </c>
      <c r="C364" s="13" t="s">
        <v>275</v>
      </c>
      <c r="E364" s="93">
        <v>12</v>
      </c>
      <c r="F364" s="13"/>
      <c r="G364" s="13"/>
      <c r="H364" s="2">
        <v>4931100</v>
      </c>
      <c r="I364" s="2"/>
      <c r="J364" s="2">
        <f>5378011+628915+9+225901-628915</f>
        <v>5603921</v>
      </c>
      <c r="K364" s="2"/>
      <c r="L364" s="2"/>
      <c r="M364" s="2">
        <f>75540+1358607+3180690+478515+84800-725452-84800</f>
        <v>4367900</v>
      </c>
    </row>
    <row r="365" spans="1:13" ht="12">
      <c r="A365" s="93"/>
      <c r="C365" s="13"/>
      <c r="E365" s="93">
        <v>13</v>
      </c>
      <c r="F365" s="13"/>
      <c r="G365" s="13"/>
      <c r="H365" s="2"/>
      <c r="I365" s="2"/>
      <c r="J365" s="2"/>
      <c r="K365" s="2"/>
      <c r="L365" s="2"/>
      <c r="M365" s="2"/>
    </row>
    <row r="366" spans="3:13" ht="12">
      <c r="C366" s="13"/>
      <c r="F366" s="90" t="s">
        <v>1</v>
      </c>
      <c r="G366" s="90"/>
      <c r="H366" s="90"/>
      <c r="I366" s="22" t="s">
        <v>1</v>
      </c>
      <c r="J366" s="23"/>
      <c r="K366" s="90"/>
      <c r="L366" s="22"/>
      <c r="M366" s="23"/>
    </row>
    <row r="367" spans="1:13" ht="12">
      <c r="A367" s="93">
        <v>14</v>
      </c>
      <c r="C367" s="7" t="s">
        <v>105</v>
      </c>
      <c r="E367" s="93">
        <v>14</v>
      </c>
      <c r="H367" s="65">
        <f>SUM(H362:H366)</f>
        <v>5377291</v>
      </c>
      <c r="I367" s="62"/>
      <c r="J367" s="65">
        <f>SUM(J362:J366)</f>
        <v>6575798</v>
      </c>
      <c r="K367" s="65"/>
      <c r="L367" s="62"/>
      <c r="M367" s="65">
        <f>SUM(M362:M366)</f>
        <v>5093352</v>
      </c>
    </row>
    <row r="368" spans="1:13" ht="12">
      <c r="A368" s="93"/>
      <c r="C368" s="13"/>
      <c r="E368" s="93"/>
      <c r="F368" s="90" t="s">
        <v>1</v>
      </c>
      <c r="G368" s="90"/>
      <c r="H368" s="90"/>
      <c r="I368" s="22" t="s">
        <v>1</v>
      </c>
      <c r="J368" s="23"/>
      <c r="K368" s="90"/>
      <c r="L368" s="22"/>
      <c r="M368" s="23"/>
    </row>
    <row r="369" spans="1:13" ht="12">
      <c r="A369" s="93">
        <v>15</v>
      </c>
      <c r="C369" s="12" t="s">
        <v>85</v>
      </c>
      <c r="E369" s="93">
        <v>15</v>
      </c>
      <c r="H369" s="65">
        <f>SUM(H360,H367)</f>
        <v>7823668</v>
      </c>
      <c r="I369" s="62"/>
      <c r="J369" s="65">
        <f>SUM(J360,J367)</f>
        <v>9521020</v>
      </c>
      <c r="K369" s="65"/>
      <c r="L369" s="65"/>
      <c r="M369" s="65">
        <f>SUM(M360,M367)</f>
        <v>7593352</v>
      </c>
    </row>
    <row r="370" spans="1:13" ht="12">
      <c r="A370" s="93"/>
      <c r="C370" s="12"/>
      <c r="E370" s="93"/>
      <c r="H370" s="65"/>
      <c r="I370" s="62"/>
      <c r="J370" s="65"/>
      <c r="K370" s="65"/>
      <c r="L370" s="62"/>
      <c r="M370" s="65"/>
    </row>
    <row r="371" spans="1:13" ht="12">
      <c r="A371" s="93">
        <v>16</v>
      </c>
      <c r="C371" s="12" t="s">
        <v>189</v>
      </c>
      <c r="E371" s="93">
        <v>16</v>
      </c>
      <c r="H371" s="65"/>
      <c r="I371" s="62"/>
      <c r="J371" s="62"/>
      <c r="K371" s="65"/>
      <c r="L371" s="62"/>
      <c r="M371" s="62">
        <f>-J332</f>
        <v>552349</v>
      </c>
    </row>
    <row r="372" spans="1:13" ht="12">
      <c r="A372" s="93">
        <v>17</v>
      </c>
      <c r="C372" s="7" t="s">
        <v>190</v>
      </c>
      <c r="E372" s="93">
        <v>17</v>
      </c>
      <c r="H372" s="65">
        <v>749366</v>
      </c>
      <c r="I372" s="62"/>
      <c r="J372" s="62">
        <v>4930</v>
      </c>
      <c r="K372" s="65"/>
      <c r="L372" s="62"/>
      <c r="M372" s="62">
        <v>0</v>
      </c>
    </row>
    <row r="373" spans="1:13" ht="12">
      <c r="A373" s="93">
        <v>18</v>
      </c>
      <c r="E373" s="93">
        <v>18</v>
      </c>
      <c r="H373" s="65"/>
      <c r="I373" s="65"/>
      <c r="J373" s="65"/>
      <c r="K373" s="65"/>
      <c r="L373" s="65"/>
      <c r="M373" s="65"/>
    </row>
    <row r="374" spans="1:13" ht="12">
      <c r="A374" s="93">
        <v>19</v>
      </c>
      <c r="E374" s="93">
        <v>19</v>
      </c>
      <c r="H374" s="65"/>
      <c r="I374" s="65"/>
      <c r="J374" s="65"/>
      <c r="K374" s="65"/>
      <c r="L374" s="65"/>
      <c r="M374" s="65"/>
    </row>
    <row r="375" spans="1:13" ht="12">
      <c r="A375" s="93"/>
      <c r="C375" s="94"/>
      <c r="E375" s="93"/>
      <c r="F375" s="90" t="s">
        <v>1</v>
      </c>
      <c r="G375" s="90"/>
      <c r="H375" s="90"/>
      <c r="I375" s="22" t="s">
        <v>1</v>
      </c>
      <c r="J375" s="23"/>
      <c r="K375" s="90"/>
      <c r="L375" s="22"/>
      <c r="M375" s="23"/>
    </row>
    <row r="376" spans="1:13" ht="12">
      <c r="A376" s="93">
        <v>20</v>
      </c>
      <c r="C376" s="94" t="s">
        <v>86</v>
      </c>
      <c r="E376" s="93">
        <v>20</v>
      </c>
      <c r="H376" s="65">
        <f>SUM(H369:H374)</f>
        <v>8573034</v>
      </c>
      <c r="I376" s="62"/>
      <c r="J376" s="65">
        <f>SUM(J369:J374)</f>
        <v>9525950</v>
      </c>
      <c r="K376" s="65"/>
      <c r="L376" s="62"/>
      <c r="M376" s="65">
        <f>SUM(M369:M374)</f>
        <v>8145701</v>
      </c>
    </row>
    <row r="377" spans="1:13" ht="12">
      <c r="A377" s="93"/>
      <c r="C377" s="94"/>
      <c r="E377" s="93"/>
      <c r="H377" s="65"/>
      <c r="I377" s="62"/>
      <c r="J377" s="65"/>
      <c r="K377" s="65"/>
      <c r="L377" s="62"/>
      <c r="M377" s="65"/>
    </row>
    <row r="378" spans="1:13" ht="12">
      <c r="A378" s="93"/>
      <c r="C378" s="94"/>
      <c r="E378" s="93"/>
      <c r="H378" s="65"/>
      <c r="I378" s="62"/>
      <c r="J378" s="65"/>
      <c r="K378" s="65"/>
      <c r="L378" s="62"/>
      <c r="M378" s="65"/>
    </row>
    <row r="379" spans="1:13" ht="12">
      <c r="A379" s="96"/>
      <c r="C379" s="12"/>
      <c r="E379" s="50"/>
      <c r="F379" s="90" t="s">
        <v>1</v>
      </c>
      <c r="G379" s="90"/>
      <c r="H379" s="90"/>
      <c r="I379" s="22" t="s">
        <v>1</v>
      </c>
      <c r="J379" s="23" t="s">
        <v>1</v>
      </c>
      <c r="K379" s="90" t="s">
        <v>1</v>
      </c>
      <c r="L379" s="22" t="s">
        <v>1</v>
      </c>
      <c r="M379" s="23" t="s">
        <v>1</v>
      </c>
    </row>
    <row r="380" spans="1:13" ht="12">
      <c r="A380" s="7" t="s">
        <v>608</v>
      </c>
      <c r="C380" s="12"/>
      <c r="E380" s="50"/>
      <c r="F380" s="90"/>
      <c r="G380" s="90"/>
      <c r="H380" s="90"/>
      <c r="I380" s="22"/>
      <c r="J380" s="23"/>
      <c r="K380" s="90"/>
      <c r="L380" s="22"/>
      <c r="M380" s="23"/>
    </row>
    <row r="381" spans="6:13" ht="12">
      <c r="F381" s="90"/>
      <c r="G381" s="90"/>
      <c r="H381" s="90"/>
      <c r="I381" s="22"/>
      <c r="J381" s="55"/>
      <c r="K381" s="90"/>
      <c r="L381" s="22"/>
      <c r="M381" s="55"/>
    </row>
    <row r="382" spans="1:13" s="46" customFormat="1" ht="12">
      <c r="A382" s="19" t="str">
        <f>$A$36</f>
        <v>Institution No.:  GFD</v>
      </c>
      <c r="E382" s="51"/>
      <c r="I382" s="52"/>
      <c r="J382" s="53"/>
      <c r="L382" s="52"/>
      <c r="M382" s="18" t="s">
        <v>221</v>
      </c>
    </row>
    <row r="383" spans="4:13" s="46" customFormat="1" ht="12">
      <c r="D383" s="60" t="s">
        <v>283</v>
      </c>
      <c r="E383" s="51"/>
      <c r="I383" s="52"/>
      <c r="J383" s="53"/>
      <c r="L383" s="52"/>
      <c r="M383" s="53"/>
    </row>
    <row r="384" spans="1:13" ht="12">
      <c r="A384" s="19" t="s">
        <v>664</v>
      </c>
      <c r="C384" s="7" t="s">
        <v>665</v>
      </c>
      <c r="F384" s="92"/>
      <c r="G384" s="92"/>
      <c r="H384" s="92"/>
      <c r="I384" s="85"/>
      <c r="J384" s="55"/>
      <c r="L384" s="17"/>
      <c r="M384" s="20" t="str">
        <f>$M$3</f>
        <v>Date: 10/1/2008</v>
      </c>
    </row>
    <row r="385" spans="1:13" ht="12">
      <c r="A385" s="21" t="s">
        <v>1</v>
      </c>
      <c r="B385" s="21" t="s">
        <v>1</v>
      </c>
      <c r="C385" s="21" t="s">
        <v>1</v>
      </c>
      <c r="D385" s="21" t="s">
        <v>1</v>
      </c>
      <c r="E385" s="21" t="s">
        <v>1</v>
      </c>
      <c r="F385" s="21" t="s">
        <v>1</v>
      </c>
      <c r="G385" s="21"/>
      <c r="H385" s="21"/>
      <c r="I385" s="22" t="s">
        <v>1</v>
      </c>
      <c r="J385" s="23" t="s">
        <v>1</v>
      </c>
      <c r="K385" s="21" t="s">
        <v>1</v>
      </c>
      <c r="L385" s="22" t="s">
        <v>1</v>
      </c>
      <c r="M385" s="23" t="s">
        <v>1</v>
      </c>
    </row>
    <row r="386" spans="1:13" ht="12">
      <c r="A386" s="24" t="s">
        <v>2</v>
      </c>
      <c r="E386" s="24" t="s">
        <v>2</v>
      </c>
      <c r="H386" s="25" t="s">
        <v>249</v>
      </c>
      <c r="I386" s="26"/>
      <c r="J386" s="27" t="s">
        <v>251</v>
      </c>
      <c r="K386" s="25"/>
      <c r="L386" s="26"/>
      <c r="M386" s="27" t="s">
        <v>267</v>
      </c>
    </row>
    <row r="387" spans="1:13" ht="12">
      <c r="A387" s="24" t="s">
        <v>4</v>
      </c>
      <c r="C387" s="28" t="s">
        <v>20</v>
      </c>
      <c r="E387" s="24" t="s">
        <v>4</v>
      </c>
      <c r="H387" s="27" t="s">
        <v>7</v>
      </c>
      <c r="I387" s="17"/>
      <c r="J387" s="27" t="s">
        <v>7</v>
      </c>
      <c r="L387" s="17"/>
      <c r="M387" s="27" t="s">
        <v>8</v>
      </c>
    </row>
    <row r="388" spans="1:13" ht="12">
      <c r="A388" s="21" t="s">
        <v>1</v>
      </c>
      <c r="B388" s="21" t="s">
        <v>1</v>
      </c>
      <c r="C388" s="21" t="s">
        <v>1</v>
      </c>
      <c r="D388" s="21" t="s">
        <v>1</v>
      </c>
      <c r="E388" s="21" t="s">
        <v>1</v>
      </c>
      <c r="F388" s="21" t="s">
        <v>1</v>
      </c>
      <c r="G388" s="21"/>
      <c r="H388" s="21"/>
      <c r="I388" s="22" t="s">
        <v>1</v>
      </c>
      <c r="J388" s="23" t="s">
        <v>1</v>
      </c>
      <c r="K388" s="21" t="s">
        <v>1</v>
      </c>
      <c r="L388" s="22" t="s">
        <v>1</v>
      </c>
      <c r="M388" s="23" t="s">
        <v>1</v>
      </c>
    </row>
    <row r="389" spans="1:13" ht="12">
      <c r="A389" s="93">
        <v>1</v>
      </c>
      <c r="C389" s="12" t="s">
        <v>284</v>
      </c>
      <c r="E389" s="93">
        <v>1</v>
      </c>
      <c r="H389" s="65"/>
      <c r="I389" s="62"/>
      <c r="J389" s="62"/>
      <c r="K389" s="65"/>
      <c r="L389" s="62"/>
      <c r="M389" s="62"/>
    </row>
    <row r="390" spans="1:13" ht="12">
      <c r="A390" s="93"/>
      <c r="C390" s="12"/>
      <c r="E390" s="93"/>
      <c r="H390" s="65"/>
      <c r="I390" s="62"/>
      <c r="J390" s="62"/>
      <c r="K390" s="65"/>
      <c r="L390" s="62"/>
      <c r="M390" s="62"/>
    </row>
    <row r="391" spans="1:13" ht="12">
      <c r="A391" s="93">
        <f>(A389+1)</f>
        <v>2</v>
      </c>
      <c r="C391" s="13" t="s">
        <v>285</v>
      </c>
      <c r="E391" s="93">
        <f>(E389+1)</f>
        <v>2</v>
      </c>
      <c r="F391" s="13"/>
      <c r="G391" s="13"/>
      <c r="H391" s="2"/>
      <c r="I391" s="2"/>
      <c r="J391" s="2">
        <v>0</v>
      </c>
      <c r="K391" s="2"/>
      <c r="L391" s="2"/>
      <c r="M391" s="2">
        <v>0</v>
      </c>
    </row>
    <row r="392" spans="1:13" ht="12">
      <c r="A392" s="93">
        <f>(A391+1)</f>
        <v>3</v>
      </c>
      <c r="C392" s="13" t="s">
        <v>222</v>
      </c>
      <c r="E392" s="93">
        <f>(E391+1)</f>
        <v>3</v>
      </c>
      <c r="F392" s="13"/>
      <c r="G392" s="13"/>
      <c r="H392" s="2">
        <v>0</v>
      </c>
      <c r="I392" s="2"/>
      <c r="J392" s="2">
        <v>0</v>
      </c>
      <c r="K392" s="2"/>
      <c r="L392" s="2"/>
      <c r="M392" s="2">
        <v>0</v>
      </c>
    </row>
    <row r="393" spans="1:13" ht="12">
      <c r="A393" s="93">
        <f>(A392+1)</f>
        <v>4</v>
      </c>
      <c r="C393" s="13" t="s">
        <v>223</v>
      </c>
      <c r="E393" s="93">
        <f>(E392+1)</f>
        <v>4</v>
      </c>
      <c r="F393" s="13"/>
      <c r="G393" s="13"/>
      <c r="H393" s="2">
        <v>0</v>
      </c>
      <c r="I393" s="2"/>
      <c r="J393" s="2"/>
      <c r="K393" s="2"/>
      <c r="L393" s="2"/>
      <c r="M393" s="2"/>
    </row>
    <row r="394" spans="1:13" ht="12">
      <c r="A394" s="93"/>
      <c r="C394" s="13"/>
      <c r="E394" s="93"/>
      <c r="F394" s="90" t="s">
        <v>1</v>
      </c>
      <c r="G394" s="90"/>
      <c r="H394" s="90"/>
      <c r="I394" s="22" t="s">
        <v>1</v>
      </c>
      <c r="J394" s="23"/>
      <c r="K394" s="90"/>
      <c r="L394" s="22"/>
      <c r="M394" s="23"/>
    </row>
    <row r="395" spans="1:13" ht="12">
      <c r="A395" s="93">
        <v>9</v>
      </c>
      <c r="C395" s="7" t="s">
        <v>202</v>
      </c>
      <c r="E395" s="93">
        <v>9</v>
      </c>
      <c r="F395" s="13"/>
      <c r="G395" s="13"/>
      <c r="H395" s="2">
        <f>SUM(H391:H392)</f>
        <v>0</v>
      </c>
      <c r="I395" s="2"/>
      <c r="J395" s="2">
        <f>SUM(J391:J392)</f>
        <v>0</v>
      </c>
      <c r="K395" s="2"/>
      <c r="L395" s="2"/>
      <c r="M395" s="2">
        <f>SUM(M391:M392)</f>
        <v>0</v>
      </c>
    </row>
    <row r="396" spans="1:13" ht="12">
      <c r="A396" s="93"/>
      <c r="C396" s="13"/>
      <c r="E396" s="93"/>
      <c r="F396" s="13"/>
      <c r="G396" s="13"/>
      <c r="H396" s="2"/>
      <c r="I396" s="2"/>
      <c r="J396" s="2"/>
      <c r="K396" s="2"/>
      <c r="L396" s="2"/>
      <c r="M396" s="2"/>
    </row>
    <row r="397" spans="1:13" ht="12">
      <c r="A397" s="93"/>
      <c r="C397" s="13"/>
      <c r="E397" s="93"/>
      <c r="F397" s="13"/>
      <c r="G397" s="13"/>
      <c r="H397" s="2"/>
      <c r="I397" s="2"/>
      <c r="J397" s="2"/>
      <c r="K397" s="2"/>
      <c r="L397" s="2"/>
      <c r="M397" s="2"/>
    </row>
    <row r="398" spans="1:13" ht="12">
      <c r="A398" s="93"/>
      <c r="C398" s="13"/>
      <c r="E398" s="93"/>
      <c r="F398" s="13"/>
      <c r="G398" s="13"/>
      <c r="H398" s="2"/>
      <c r="I398" s="2"/>
      <c r="J398" s="2"/>
      <c r="K398" s="2"/>
      <c r="L398" s="2"/>
      <c r="M398" s="2"/>
    </row>
    <row r="399" spans="1:13" ht="12">
      <c r="A399" s="93"/>
      <c r="C399" s="13"/>
      <c r="E399" s="93"/>
      <c r="F399" s="13"/>
      <c r="G399" s="13"/>
      <c r="H399" s="2"/>
      <c r="I399" s="2"/>
      <c r="J399" s="2"/>
      <c r="K399" s="2"/>
      <c r="L399" s="2"/>
      <c r="M399" s="2"/>
    </row>
    <row r="400" spans="1:13" ht="12">
      <c r="A400" s="93"/>
      <c r="C400" s="13"/>
      <c r="E400" s="93"/>
      <c r="F400" s="13"/>
      <c r="G400" s="13"/>
      <c r="H400" s="2"/>
      <c r="I400" s="2"/>
      <c r="J400" s="2"/>
      <c r="K400" s="2"/>
      <c r="L400" s="2"/>
      <c r="M400" s="2"/>
    </row>
    <row r="401" spans="3:13" ht="12">
      <c r="C401" s="13"/>
      <c r="F401" s="90"/>
      <c r="G401" s="90"/>
      <c r="H401" s="90"/>
      <c r="I401" s="22"/>
      <c r="J401" s="23"/>
      <c r="K401" s="90"/>
      <c r="L401" s="22"/>
      <c r="M401" s="23"/>
    </row>
    <row r="402" spans="1:13" ht="12">
      <c r="A402" s="93"/>
      <c r="E402" s="93"/>
      <c r="H402" s="65"/>
      <c r="I402" s="62"/>
      <c r="J402" s="65"/>
      <c r="K402" s="65"/>
      <c r="L402" s="62"/>
      <c r="M402" s="65"/>
    </row>
    <row r="403" spans="1:13" ht="12">
      <c r="A403" s="93"/>
      <c r="C403" s="13"/>
      <c r="E403" s="93"/>
      <c r="F403" s="90"/>
      <c r="G403" s="90"/>
      <c r="H403" s="90"/>
      <c r="I403" s="22"/>
      <c r="J403" s="23"/>
      <c r="K403" s="90"/>
      <c r="L403" s="22"/>
      <c r="M403" s="23"/>
    </row>
    <row r="404" spans="1:13" ht="12">
      <c r="A404" s="93"/>
      <c r="C404" s="12"/>
      <c r="E404" s="93"/>
      <c r="H404" s="65"/>
      <c r="I404" s="62"/>
      <c r="J404" s="65"/>
      <c r="K404" s="65"/>
      <c r="L404" s="62"/>
      <c r="M404" s="65"/>
    </row>
    <row r="405" spans="1:13" ht="12">
      <c r="A405" s="93"/>
      <c r="C405" s="12"/>
      <c r="E405" s="93"/>
      <c r="H405" s="65"/>
      <c r="I405" s="62"/>
      <c r="J405" s="65"/>
      <c r="K405" s="65"/>
      <c r="L405" s="62"/>
      <c r="M405" s="65"/>
    </row>
    <row r="406" spans="1:13" ht="12">
      <c r="A406" s="93"/>
      <c r="C406" s="12"/>
      <c r="E406" s="93"/>
      <c r="H406" s="65"/>
      <c r="I406" s="62"/>
      <c r="J406" s="62"/>
      <c r="K406" s="65"/>
      <c r="L406" s="62"/>
      <c r="M406" s="62"/>
    </row>
    <row r="407" spans="1:13" ht="12">
      <c r="A407" s="93"/>
      <c r="E407" s="93"/>
      <c r="H407" s="65"/>
      <c r="I407" s="62"/>
      <c r="J407" s="62"/>
      <c r="K407" s="65"/>
      <c r="L407" s="62"/>
      <c r="M407" s="62"/>
    </row>
    <row r="408" spans="1:13" ht="12">
      <c r="A408" s="93"/>
      <c r="E408" s="93"/>
      <c r="H408" s="65"/>
      <c r="I408" s="65"/>
      <c r="J408" s="65"/>
      <c r="K408" s="65"/>
      <c r="L408" s="65"/>
      <c r="M408" s="65"/>
    </row>
    <row r="409" spans="1:13" ht="12">
      <c r="A409" s="93"/>
      <c r="E409" s="93"/>
      <c r="H409" s="65"/>
      <c r="I409" s="65"/>
      <c r="J409" s="65"/>
      <c r="K409" s="65"/>
      <c r="L409" s="65"/>
      <c r="M409" s="65"/>
    </row>
    <row r="410" spans="1:13" ht="12">
      <c r="A410" s="93"/>
      <c r="C410" s="94"/>
      <c r="E410" s="93"/>
      <c r="F410" s="90"/>
      <c r="G410" s="90"/>
      <c r="H410" s="90"/>
      <c r="I410" s="22"/>
      <c r="J410" s="23"/>
      <c r="K410" s="90"/>
      <c r="L410" s="22"/>
      <c r="M410" s="23"/>
    </row>
    <row r="411" spans="1:13" ht="12">
      <c r="A411" s="93"/>
      <c r="C411" s="94"/>
      <c r="E411" s="93"/>
      <c r="H411" s="65"/>
      <c r="I411" s="62"/>
      <c r="J411" s="65"/>
      <c r="K411" s="65"/>
      <c r="L411" s="62"/>
      <c r="M411" s="65"/>
    </row>
    <row r="412" spans="1:13" ht="12">
      <c r="A412" s="96"/>
      <c r="C412" s="12"/>
      <c r="E412" s="50"/>
      <c r="F412" s="90"/>
      <c r="G412" s="90"/>
      <c r="H412" s="90"/>
      <c r="I412" s="22"/>
      <c r="J412" s="23"/>
      <c r="K412" s="90"/>
      <c r="L412" s="22"/>
      <c r="M412" s="23"/>
    </row>
    <row r="414" spans="1:13" s="46" customFormat="1" ht="12">
      <c r="A414" s="19" t="str">
        <f>$A$36</f>
        <v>Institution No.:  GFD</v>
      </c>
      <c r="E414" s="51"/>
      <c r="I414" s="52"/>
      <c r="J414" s="53"/>
      <c r="L414" s="52"/>
      <c r="M414" s="18" t="s">
        <v>82</v>
      </c>
    </row>
    <row r="415" spans="1:13" ht="12.75" customHeight="1">
      <c r="A415" s="262" t="s">
        <v>216</v>
      </c>
      <c r="B415" s="262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</row>
    <row r="416" spans="1:13" ht="12">
      <c r="A416" s="19" t="s">
        <v>664</v>
      </c>
      <c r="C416" s="7" t="s">
        <v>665</v>
      </c>
      <c r="J416" s="55"/>
      <c r="L416" s="17"/>
      <c r="M416" s="20" t="str">
        <f>$M$3</f>
        <v>Date: 10/1/2008</v>
      </c>
    </row>
    <row r="417" spans="1:13" ht="12">
      <c r="A417" s="21" t="s">
        <v>1</v>
      </c>
      <c r="B417" s="21" t="s">
        <v>1</v>
      </c>
      <c r="C417" s="21" t="s">
        <v>1</v>
      </c>
      <c r="D417" s="21" t="s">
        <v>1</v>
      </c>
      <c r="E417" s="21" t="s">
        <v>1</v>
      </c>
      <c r="F417" s="21" t="s">
        <v>1</v>
      </c>
      <c r="G417" s="21"/>
      <c r="H417" s="21"/>
      <c r="I417" s="22" t="s">
        <v>1</v>
      </c>
      <c r="J417" s="23" t="s">
        <v>1</v>
      </c>
      <c r="K417" s="21" t="s">
        <v>1</v>
      </c>
      <c r="L417" s="22" t="s">
        <v>1</v>
      </c>
      <c r="M417" s="23" t="s">
        <v>1</v>
      </c>
    </row>
    <row r="418" spans="1:13" ht="12">
      <c r="A418" s="24" t="s">
        <v>2</v>
      </c>
      <c r="E418" s="24" t="s">
        <v>2</v>
      </c>
      <c r="F418" s="25"/>
      <c r="G418" s="25"/>
      <c r="H418" s="25" t="s">
        <v>249</v>
      </c>
      <c r="I418" s="26"/>
      <c r="J418" s="27" t="s">
        <v>251</v>
      </c>
      <c r="K418" s="25"/>
      <c r="L418" s="26"/>
      <c r="M418" s="27" t="s">
        <v>260</v>
      </c>
    </row>
    <row r="419" spans="1:13" ht="12">
      <c r="A419" s="24" t="s">
        <v>4</v>
      </c>
      <c r="C419" s="28" t="s">
        <v>20</v>
      </c>
      <c r="E419" s="24" t="s">
        <v>4</v>
      </c>
      <c r="F419" s="25"/>
      <c r="G419" s="25"/>
      <c r="H419" s="27" t="s">
        <v>7</v>
      </c>
      <c r="I419" s="26"/>
      <c r="J419" s="27" t="s">
        <v>7</v>
      </c>
      <c r="K419" s="25"/>
      <c r="L419" s="26"/>
      <c r="M419" s="27" t="s">
        <v>8</v>
      </c>
    </row>
    <row r="420" spans="1:13" ht="12">
      <c r="A420" s="21" t="s">
        <v>1</v>
      </c>
      <c r="B420" s="21" t="s">
        <v>1</v>
      </c>
      <c r="C420" s="21" t="s">
        <v>1</v>
      </c>
      <c r="D420" s="21" t="s">
        <v>1</v>
      </c>
      <c r="E420" s="21" t="s">
        <v>1</v>
      </c>
      <c r="F420" s="21" t="s">
        <v>1</v>
      </c>
      <c r="G420" s="21"/>
      <c r="H420" s="21"/>
      <c r="I420" s="22" t="s">
        <v>1</v>
      </c>
      <c r="J420" s="23" t="s">
        <v>1</v>
      </c>
      <c r="K420" s="21" t="s">
        <v>1</v>
      </c>
      <c r="L420" s="22" t="s">
        <v>1</v>
      </c>
      <c r="M420" s="23" t="s">
        <v>1</v>
      </c>
    </row>
    <row r="421" spans="1:13" ht="12">
      <c r="A421" s="97">
        <v>1</v>
      </c>
      <c r="C421" s="12" t="s">
        <v>398</v>
      </c>
      <c r="E421" s="97">
        <v>1</v>
      </c>
      <c r="F421" s="13"/>
      <c r="G421" s="13"/>
      <c r="H421" s="13"/>
      <c r="I421" s="14"/>
      <c r="K421" s="13"/>
      <c r="L421" s="14"/>
      <c r="M421" s="15"/>
    </row>
    <row r="422" spans="1:13" ht="12">
      <c r="A422" s="97">
        <f aca="true" t="shared" si="12" ref="A422:A444">(A421+1)</f>
        <v>2</v>
      </c>
      <c r="C422" s="7" t="s">
        <v>399</v>
      </c>
      <c r="E422" s="97">
        <f aca="true" t="shared" si="13" ref="E422:E444">(E421+1)</f>
        <v>2</v>
      </c>
      <c r="F422" s="13"/>
      <c r="G422" s="13"/>
      <c r="H422" s="98">
        <v>15386680</v>
      </c>
      <c r="I422" s="98"/>
      <c r="J422" s="98"/>
      <c r="K422" s="98"/>
      <c r="L422" s="98"/>
      <c r="M422" s="98"/>
    </row>
    <row r="423" spans="1:13" ht="12">
      <c r="A423" s="97">
        <f t="shared" si="12"/>
        <v>3</v>
      </c>
      <c r="C423" s="7" t="s">
        <v>400</v>
      </c>
      <c r="E423" s="97">
        <f t="shared" si="13"/>
        <v>3</v>
      </c>
      <c r="F423" s="13"/>
      <c r="G423" s="13"/>
      <c r="H423" s="98"/>
      <c r="I423" s="98"/>
      <c r="J423" s="98">
        <v>16942522</v>
      </c>
      <c r="K423" s="98"/>
      <c r="L423" s="98"/>
      <c r="M423" s="98"/>
    </row>
    <row r="424" spans="1:13" ht="12">
      <c r="A424" s="97">
        <f t="shared" si="12"/>
        <v>4</v>
      </c>
      <c r="C424" s="7" t="s">
        <v>401</v>
      </c>
      <c r="E424" s="97">
        <f t="shared" si="13"/>
        <v>4</v>
      </c>
      <c r="F424" s="13"/>
      <c r="G424" s="13"/>
      <c r="H424" s="98"/>
      <c r="I424" s="98"/>
      <c r="J424" s="98"/>
      <c r="K424" s="98"/>
      <c r="L424" s="98"/>
      <c r="M424" s="48">
        <v>17618042</v>
      </c>
    </row>
    <row r="425" spans="1:13" ht="12">
      <c r="A425" s="97">
        <f>(A424+1)</f>
        <v>5</v>
      </c>
      <c r="C425" s="13"/>
      <c r="E425" s="97">
        <f>(E424+1)</f>
        <v>5</v>
      </c>
      <c r="F425" s="13"/>
      <c r="G425" s="13"/>
      <c r="H425" s="98"/>
      <c r="I425" s="98"/>
      <c r="J425" s="98"/>
      <c r="K425" s="98"/>
      <c r="L425" s="98"/>
      <c r="M425" s="98"/>
    </row>
    <row r="426" spans="1:13" ht="12">
      <c r="A426" s="97">
        <f t="shared" si="12"/>
        <v>6</v>
      </c>
      <c r="C426" s="12"/>
      <c r="E426" s="97">
        <f t="shared" si="13"/>
        <v>6</v>
      </c>
      <c r="F426" s="13"/>
      <c r="G426" s="13"/>
      <c r="H426" s="98"/>
      <c r="I426" s="98"/>
      <c r="J426" s="98"/>
      <c r="K426" s="98"/>
      <c r="L426" s="98"/>
      <c r="M426" s="98"/>
    </row>
    <row r="427" spans="1:13" ht="12">
      <c r="A427" s="97">
        <f>(A426+1)</f>
        <v>7</v>
      </c>
      <c r="C427" s="12"/>
      <c r="E427" s="97">
        <f>(E426+1)</f>
        <v>7</v>
      </c>
      <c r="F427" s="13"/>
      <c r="G427" s="13"/>
      <c r="H427" s="98"/>
      <c r="I427" s="98"/>
      <c r="J427" s="98"/>
      <c r="K427" s="98"/>
      <c r="L427" s="98"/>
      <c r="M427" s="98"/>
    </row>
    <row r="428" spans="1:13" ht="12">
      <c r="A428" s="97">
        <f>(A427+1)</f>
        <v>8</v>
      </c>
      <c r="C428" s="13"/>
      <c r="E428" s="97">
        <f>(E427+1)</f>
        <v>8</v>
      </c>
      <c r="F428" s="13"/>
      <c r="G428" s="13"/>
      <c r="H428" s="98">
        <v>0</v>
      </c>
      <c r="I428" s="98"/>
      <c r="J428" s="98">
        <v>0</v>
      </c>
      <c r="K428" s="98"/>
      <c r="L428" s="98"/>
      <c r="M428" s="98"/>
    </row>
    <row r="429" spans="1:13" ht="12">
      <c r="A429" s="97">
        <f t="shared" si="12"/>
        <v>9</v>
      </c>
      <c r="C429" s="13"/>
      <c r="E429" s="97">
        <f t="shared" si="13"/>
        <v>9</v>
      </c>
      <c r="F429" s="13"/>
      <c r="G429" s="13"/>
      <c r="H429" s="98"/>
      <c r="I429" s="98"/>
      <c r="J429" s="98"/>
      <c r="K429" s="98"/>
      <c r="L429" s="98"/>
      <c r="M429" s="98"/>
    </row>
    <row r="430" spans="1:13" ht="12">
      <c r="A430" s="97">
        <f t="shared" si="12"/>
        <v>10</v>
      </c>
      <c r="E430" s="97">
        <f t="shared" si="13"/>
        <v>10</v>
      </c>
      <c r="F430" s="13"/>
      <c r="G430" s="13"/>
      <c r="H430" s="98"/>
      <c r="I430" s="98"/>
      <c r="J430" s="98"/>
      <c r="K430" s="98"/>
      <c r="L430" s="98"/>
      <c r="M430" s="98"/>
    </row>
    <row r="431" spans="1:13" ht="12">
      <c r="A431" s="97">
        <f t="shared" si="12"/>
        <v>11</v>
      </c>
      <c r="E431" s="97">
        <f t="shared" si="13"/>
        <v>11</v>
      </c>
      <c r="F431" s="13"/>
      <c r="G431" s="13"/>
      <c r="H431" s="98"/>
      <c r="I431" s="98"/>
      <c r="J431" s="98"/>
      <c r="K431" s="98"/>
      <c r="L431" s="98"/>
      <c r="M431" s="98"/>
    </row>
    <row r="432" spans="1:13" ht="12">
      <c r="A432" s="97">
        <f t="shared" si="12"/>
        <v>12</v>
      </c>
      <c r="E432" s="97">
        <f t="shared" si="13"/>
        <v>12</v>
      </c>
      <c r="F432" s="13"/>
      <c r="G432" s="13"/>
      <c r="H432" s="98"/>
      <c r="I432" s="98"/>
      <c r="J432" s="98"/>
      <c r="K432" s="98"/>
      <c r="L432" s="98"/>
      <c r="M432" s="98"/>
    </row>
    <row r="433" spans="1:13" ht="12">
      <c r="A433" s="97">
        <f t="shared" si="12"/>
        <v>13</v>
      </c>
      <c r="C433" s="13"/>
      <c r="E433" s="97">
        <f t="shared" si="13"/>
        <v>13</v>
      </c>
      <c r="F433" s="13"/>
      <c r="G433" s="13"/>
      <c r="H433" s="98"/>
      <c r="I433" s="98"/>
      <c r="J433" s="98"/>
      <c r="K433" s="98"/>
      <c r="L433" s="98"/>
      <c r="M433" s="98"/>
    </row>
    <row r="434" spans="1:13" ht="12">
      <c r="A434" s="97">
        <f t="shared" si="12"/>
        <v>14</v>
      </c>
      <c r="C434" s="13" t="s">
        <v>184</v>
      </c>
      <c r="E434" s="97">
        <f t="shared" si="13"/>
        <v>14</v>
      </c>
      <c r="F434" s="13"/>
      <c r="G434" s="13"/>
      <c r="H434" s="98"/>
      <c r="I434" s="98"/>
      <c r="J434" s="98"/>
      <c r="K434" s="98"/>
      <c r="L434" s="98"/>
      <c r="M434" s="98"/>
    </row>
    <row r="435" spans="1:13" ht="12">
      <c r="A435" s="97">
        <f t="shared" si="12"/>
        <v>15</v>
      </c>
      <c r="C435" s="13"/>
      <c r="E435" s="97">
        <f t="shared" si="13"/>
        <v>15</v>
      </c>
      <c r="F435" s="13"/>
      <c r="G435" s="13"/>
      <c r="H435" s="98">
        <v>0</v>
      </c>
      <c r="I435" s="98"/>
      <c r="J435" s="98">
        <v>0</v>
      </c>
      <c r="K435" s="98"/>
      <c r="L435" s="98"/>
      <c r="M435" s="98"/>
    </row>
    <row r="436" spans="1:13" ht="12">
      <c r="A436" s="97">
        <f t="shared" si="12"/>
        <v>16</v>
      </c>
      <c r="C436" s="13"/>
      <c r="E436" s="97">
        <f t="shared" si="13"/>
        <v>16</v>
      </c>
      <c r="F436" s="13"/>
      <c r="G436" s="13"/>
      <c r="H436" s="98"/>
      <c r="I436" s="98"/>
      <c r="J436" s="98"/>
      <c r="K436" s="98"/>
      <c r="L436" s="98"/>
      <c r="M436" s="98"/>
    </row>
    <row r="437" spans="1:13" ht="12">
      <c r="A437" s="97">
        <f t="shared" si="12"/>
        <v>17</v>
      </c>
      <c r="C437" s="13"/>
      <c r="E437" s="97">
        <f t="shared" si="13"/>
        <v>17</v>
      </c>
      <c r="F437" s="13"/>
      <c r="G437" s="13"/>
      <c r="H437" s="98"/>
      <c r="I437" s="98"/>
      <c r="J437" s="98"/>
      <c r="K437" s="98"/>
      <c r="L437" s="98"/>
      <c r="M437" s="98"/>
    </row>
    <row r="438" spans="1:13" ht="12">
      <c r="A438" s="97">
        <f t="shared" si="12"/>
        <v>18</v>
      </c>
      <c r="C438" s="13"/>
      <c r="E438" s="97">
        <f t="shared" si="13"/>
        <v>18</v>
      </c>
      <c r="F438" s="13"/>
      <c r="G438" s="13"/>
      <c r="H438" s="98"/>
      <c r="I438" s="98"/>
      <c r="J438" s="98"/>
      <c r="K438" s="98"/>
      <c r="L438" s="98"/>
      <c r="M438" s="98"/>
    </row>
    <row r="439" spans="1:13" ht="12">
      <c r="A439" s="97">
        <f t="shared" si="12"/>
        <v>19</v>
      </c>
      <c r="C439" s="13"/>
      <c r="E439" s="97">
        <f t="shared" si="13"/>
        <v>19</v>
      </c>
      <c r="F439" s="13"/>
      <c r="G439" s="13"/>
      <c r="H439" s="98"/>
      <c r="I439" s="98"/>
      <c r="J439" s="98"/>
      <c r="K439" s="98"/>
      <c r="L439" s="98"/>
      <c r="M439" s="98"/>
    </row>
    <row r="440" spans="1:13" ht="12">
      <c r="A440" s="97">
        <f t="shared" si="12"/>
        <v>20</v>
      </c>
      <c r="C440" s="13"/>
      <c r="E440" s="97">
        <f t="shared" si="13"/>
        <v>20</v>
      </c>
      <c r="F440" s="13"/>
      <c r="G440" s="13"/>
      <c r="H440" s="98"/>
      <c r="I440" s="98"/>
      <c r="J440" s="98"/>
      <c r="K440" s="98"/>
      <c r="L440" s="98"/>
      <c r="M440" s="98"/>
    </row>
    <row r="441" spans="1:13" ht="12">
      <c r="A441" s="97">
        <f t="shared" si="12"/>
        <v>21</v>
      </c>
      <c r="C441" s="13"/>
      <c r="E441" s="97">
        <f t="shared" si="13"/>
        <v>21</v>
      </c>
      <c r="F441" s="13"/>
      <c r="G441" s="13"/>
      <c r="H441" s="98"/>
      <c r="I441" s="98"/>
      <c r="J441" s="98"/>
      <c r="K441" s="98"/>
      <c r="L441" s="98"/>
      <c r="M441" s="98"/>
    </row>
    <row r="442" spans="1:13" ht="12">
      <c r="A442" s="97">
        <f t="shared" si="12"/>
        <v>22</v>
      </c>
      <c r="C442" s="13"/>
      <c r="E442" s="97">
        <f t="shared" si="13"/>
        <v>22</v>
      </c>
      <c r="F442" s="13"/>
      <c r="G442" s="13"/>
      <c r="H442" s="98"/>
      <c r="I442" s="98"/>
      <c r="J442" s="98"/>
      <c r="K442" s="98"/>
      <c r="L442" s="98"/>
      <c r="M442" s="98"/>
    </row>
    <row r="443" spans="1:13" ht="12">
      <c r="A443" s="97">
        <f t="shared" si="12"/>
        <v>23</v>
      </c>
      <c r="C443" s="13"/>
      <c r="E443" s="97">
        <f t="shared" si="13"/>
        <v>23</v>
      </c>
      <c r="F443" s="13"/>
      <c r="G443" s="13"/>
      <c r="H443" s="98"/>
      <c r="I443" s="98"/>
      <c r="J443" s="98"/>
      <c r="K443" s="98"/>
      <c r="L443" s="98"/>
      <c r="M443" s="98"/>
    </row>
    <row r="444" spans="1:13" ht="12">
      <c r="A444" s="97">
        <f t="shared" si="12"/>
        <v>24</v>
      </c>
      <c r="C444" s="13"/>
      <c r="E444" s="97">
        <f t="shared" si="13"/>
        <v>24</v>
      </c>
      <c r="F444" s="13"/>
      <c r="G444" s="13"/>
      <c r="H444" s="98"/>
      <c r="I444" s="98"/>
      <c r="J444" s="98"/>
      <c r="K444" s="98"/>
      <c r="L444" s="98"/>
      <c r="M444" s="98"/>
    </row>
    <row r="445" spans="1:13" ht="12">
      <c r="A445" s="99"/>
      <c r="E445" s="99"/>
      <c r="F445" s="90" t="s">
        <v>1</v>
      </c>
      <c r="G445" s="90"/>
      <c r="H445" s="90"/>
      <c r="I445" s="22" t="s">
        <v>1</v>
      </c>
      <c r="J445" s="23"/>
      <c r="K445" s="90"/>
      <c r="L445" s="22"/>
      <c r="M445" s="23"/>
    </row>
    <row r="446" spans="1:13" ht="12">
      <c r="A446" s="97">
        <f>(A444+1)</f>
        <v>25</v>
      </c>
      <c r="C446" s="12" t="s">
        <v>185</v>
      </c>
      <c r="E446" s="97">
        <f>(E444+1)</f>
        <v>25</v>
      </c>
      <c r="H446" s="100">
        <f>SUM(H421:H444)</f>
        <v>15386680</v>
      </c>
      <c r="I446" s="101"/>
      <c r="J446" s="100">
        <f>SUM(J421:J444)</f>
        <v>16942522</v>
      </c>
      <c r="K446" s="100"/>
      <c r="L446" s="101"/>
      <c r="M446" s="100">
        <f>SUM(M421:M444)</f>
        <v>17618042</v>
      </c>
    </row>
    <row r="447" spans="1:13" ht="12">
      <c r="A447" s="97"/>
      <c r="C447" s="12"/>
      <c r="E447" s="97"/>
      <c r="F447" s="90" t="s">
        <v>1</v>
      </c>
      <c r="G447" s="90"/>
      <c r="H447" s="90"/>
      <c r="I447" s="22" t="s">
        <v>1</v>
      </c>
      <c r="J447" s="23"/>
      <c r="K447" s="90"/>
      <c r="L447" s="22"/>
      <c r="M447" s="23"/>
    </row>
    <row r="448" ht="12">
      <c r="E448" s="50"/>
    </row>
    <row r="449" ht="12">
      <c r="E449" s="50"/>
    </row>
    <row r="450" spans="1:13" ht="12">
      <c r="A450" s="19" t="str">
        <f>$A$36</f>
        <v>Institution No.:  GFD</v>
      </c>
      <c r="B450" s="46"/>
      <c r="C450" s="46"/>
      <c r="D450" s="46"/>
      <c r="E450" s="51"/>
      <c r="F450" s="46"/>
      <c r="G450" s="46"/>
      <c r="H450" s="46"/>
      <c r="I450" s="52"/>
      <c r="J450" s="53"/>
      <c r="K450" s="46"/>
      <c r="L450" s="52"/>
      <c r="M450" s="18" t="s">
        <v>186</v>
      </c>
    </row>
    <row r="451" spans="1:13" ht="12">
      <c r="A451" s="262" t="s">
        <v>253</v>
      </c>
      <c r="B451" s="262"/>
      <c r="C451" s="262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</row>
    <row r="452" spans="1:13" ht="12">
      <c r="A452" s="19" t="s">
        <v>664</v>
      </c>
      <c r="C452" s="7" t="s">
        <v>665</v>
      </c>
      <c r="J452" s="55"/>
      <c r="L452" s="17"/>
      <c r="M452" s="20" t="str">
        <f>$M$3</f>
        <v>Date: 10/1/2008</v>
      </c>
    </row>
    <row r="453" spans="1:13" ht="12">
      <c r="A453" s="21" t="s">
        <v>1</v>
      </c>
      <c r="B453" s="21" t="s">
        <v>1</v>
      </c>
      <c r="C453" s="21" t="s">
        <v>1</v>
      </c>
      <c r="D453" s="21" t="s">
        <v>1</v>
      </c>
      <c r="E453" s="21" t="s">
        <v>1</v>
      </c>
      <c r="F453" s="21" t="s">
        <v>1</v>
      </c>
      <c r="G453" s="21"/>
      <c r="H453" s="21"/>
      <c r="I453" s="22" t="s">
        <v>1</v>
      </c>
      <c r="J453" s="23" t="s">
        <v>1</v>
      </c>
      <c r="K453" s="21" t="s">
        <v>1</v>
      </c>
      <c r="L453" s="22" t="s">
        <v>1</v>
      </c>
      <c r="M453" s="23" t="s">
        <v>1</v>
      </c>
    </row>
    <row r="454" spans="1:13" ht="12">
      <c r="A454" s="24" t="s">
        <v>2</v>
      </c>
      <c r="E454" s="24" t="s">
        <v>2</v>
      </c>
      <c r="F454" s="25"/>
      <c r="G454" s="25"/>
      <c r="H454" s="25" t="s">
        <v>249</v>
      </c>
      <c r="I454" s="26"/>
      <c r="J454" s="27" t="s">
        <v>251</v>
      </c>
      <c r="K454" s="25"/>
      <c r="L454" s="26"/>
      <c r="M454" s="27" t="s">
        <v>260</v>
      </c>
    </row>
    <row r="455" spans="1:13" ht="12">
      <c r="A455" s="24" t="s">
        <v>4</v>
      </c>
      <c r="C455" s="28" t="s">
        <v>20</v>
      </c>
      <c r="E455" s="24" t="s">
        <v>4</v>
      </c>
      <c r="F455" s="25"/>
      <c r="G455" s="25"/>
      <c r="H455" s="27" t="s">
        <v>7</v>
      </c>
      <c r="I455" s="26"/>
      <c r="J455" s="27" t="s">
        <v>7</v>
      </c>
      <c r="K455" s="25"/>
      <c r="L455" s="26"/>
      <c r="M455" s="27" t="s">
        <v>8</v>
      </c>
    </row>
    <row r="456" spans="1:13" ht="12">
      <c r="A456" s="21" t="s">
        <v>1</v>
      </c>
      <c r="B456" s="21" t="s">
        <v>1</v>
      </c>
      <c r="C456" s="21" t="s">
        <v>1</v>
      </c>
      <c r="D456" s="21" t="s">
        <v>1</v>
      </c>
      <c r="E456" s="21" t="s">
        <v>1</v>
      </c>
      <c r="F456" s="21" t="s">
        <v>1</v>
      </c>
      <c r="G456" s="21"/>
      <c r="H456" s="21"/>
      <c r="I456" s="22" t="s">
        <v>1</v>
      </c>
      <c r="J456" s="23" t="s">
        <v>1</v>
      </c>
      <c r="K456" s="21" t="s">
        <v>1</v>
      </c>
      <c r="L456" s="22" t="s">
        <v>1</v>
      </c>
      <c r="M456" s="23" t="s">
        <v>1</v>
      </c>
    </row>
    <row r="457" spans="1:13" ht="12">
      <c r="A457" s="7">
        <v>1</v>
      </c>
      <c r="C457" s="7" t="s">
        <v>268</v>
      </c>
      <c r="E457" s="7">
        <v>1</v>
      </c>
      <c r="H457" s="102">
        <v>11893085</v>
      </c>
      <c r="I457" s="102"/>
      <c r="J457" s="102">
        <v>14341658</v>
      </c>
      <c r="K457" s="102"/>
      <c r="L457" s="102"/>
      <c r="M457" s="48">
        <v>15413397</v>
      </c>
    </row>
    <row r="458" ht="12">
      <c r="E458" s="50"/>
    </row>
    <row r="459" ht="12">
      <c r="E459" s="50"/>
    </row>
    <row r="460" ht="12">
      <c r="E460" s="50"/>
    </row>
    <row r="461" ht="12">
      <c r="E461" s="50"/>
    </row>
    <row r="462" ht="12">
      <c r="E462" s="50"/>
    </row>
    <row r="463" ht="12">
      <c r="E463" s="50"/>
    </row>
    <row r="464" ht="12">
      <c r="E464" s="50"/>
    </row>
    <row r="465" ht="12">
      <c r="E465" s="50"/>
    </row>
    <row r="466" ht="12">
      <c r="E466" s="50"/>
    </row>
    <row r="467" ht="12">
      <c r="E467" s="50"/>
    </row>
    <row r="468" ht="12">
      <c r="E468" s="50"/>
    </row>
    <row r="469" ht="12">
      <c r="E469" s="50"/>
    </row>
    <row r="470" ht="12">
      <c r="E470" s="50"/>
    </row>
    <row r="471" ht="12">
      <c r="E471" s="50"/>
    </row>
    <row r="472" spans="2:6" ht="12.75">
      <c r="B472" s="56"/>
      <c r="C472" s="57"/>
      <c r="D472" s="58"/>
      <c r="E472" s="58"/>
      <c r="F472" s="58"/>
    </row>
    <row r="473" spans="2:6" ht="12.75">
      <c r="B473" s="56"/>
      <c r="C473" s="57"/>
      <c r="D473" s="58"/>
      <c r="E473" s="58"/>
      <c r="F473" s="58"/>
    </row>
    <row r="474" ht="12">
      <c r="E474" s="50"/>
    </row>
    <row r="475" ht="12">
      <c r="E475" s="50"/>
    </row>
    <row r="476" ht="12">
      <c r="E476" s="50"/>
    </row>
    <row r="477" ht="12">
      <c r="E477" s="50"/>
    </row>
    <row r="478" ht="12">
      <c r="E478" s="50"/>
    </row>
    <row r="479" ht="12">
      <c r="E479" s="50"/>
    </row>
    <row r="480" ht="12">
      <c r="E480" s="50"/>
    </row>
    <row r="481" ht="12">
      <c r="E481" s="50"/>
    </row>
    <row r="482" ht="12">
      <c r="E482" s="50"/>
    </row>
    <row r="483" ht="12">
      <c r="E483" s="50"/>
    </row>
    <row r="484" ht="12">
      <c r="E484" s="50"/>
    </row>
    <row r="485" ht="12">
      <c r="E485" s="50"/>
    </row>
    <row r="486" ht="12">
      <c r="E486" s="50"/>
    </row>
    <row r="487" spans="5:13" ht="12">
      <c r="E487" s="50"/>
      <c r="I487" s="17"/>
      <c r="J487" s="55"/>
      <c r="L487" s="17"/>
      <c r="M487" s="55"/>
    </row>
    <row r="488" spans="1:13" s="46" customFormat="1" ht="12">
      <c r="A488" s="19" t="str">
        <f>$A$36</f>
        <v>Institution No.:  GFD</v>
      </c>
      <c r="E488" s="51"/>
      <c r="I488" s="52"/>
      <c r="J488" s="53"/>
      <c r="L488" s="52"/>
      <c r="M488" s="18" t="s">
        <v>22</v>
      </c>
    </row>
    <row r="489" spans="1:13" s="46" customFormat="1" ht="12">
      <c r="A489" s="274" t="s">
        <v>148</v>
      </c>
      <c r="B489" s="274"/>
      <c r="C489" s="274"/>
      <c r="D489" s="274"/>
      <c r="E489" s="274"/>
      <c r="F489" s="274"/>
      <c r="G489" s="274"/>
      <c r="H489" s="274"/>
      <c r="I489" s="274"/>
      <c r="J489" s="274"/>
      <c r="K489" s="274"/>
      <c r="L489" s="274"/>
      <c r="M489" s="274"/>
    </row>
    <row r="490" spans="1:13" ht="12">
      <c r="A490" s="19" t="s">
        <v>664</v>
      </c>
      <c r="C490" s="7" t="s">
        <v>665</v>
      </c>
      <c r="I490" s="103"/>
      <c r="J490" s="55"/>
      <c r="L490" s="17"/>
      <c r="M490" s="20" t="str">
        <f>$M$3</f>
        <v>Date: 10/1/2008</v>
      </c>
    </row>
    <row r="491" spans="1:13" ht="12">
      <c r="A491" s="21" t="s">
        <v>1</v>
      </c>
      <c r="B491" s="21" t="s">
        <v>1</v>
      </c>
      <c r="C491" s="21" t="s">
        <v>1</v>
      </c>
      <c r="D491" s="21" t="s">
        <v>1</v>
      </c>
      <c r="E491" s="21" t="s">
        <v>1</v>
      </c>
      <c r="F491" s="21" t="s">
        <v>1</v>
      </c>
      <c r="G491" s="21"/>
      <c r="H491" s="21"/>
      <c r="I491" s="22" t="s">
        <v>1</v>
      </c>
      <c r="J491" s="23" t="s">
        <v>1</v>
      </c>
      <c r="K491" s="21" t="s">
        <v>1</v>
      </c>
      <c r="L491" s="22" t="s">
        <v>1</v>
      </c>
      <c r="M491" s="23" t="s">
        <v>1</v>
      </c>
    </row>
    <row r="492" spans="1:13" ht="12">
      <c r="A492" s="24" t="s">
        <v>2</v>
      </c>
      <c r="E492" s="24" t="s">
        <v>2</v>
      </c>
      <c r="F492" s="25"/>
      <c r="G492" s="26"/>
      <c r="H492" s="25" t="s">
        <v>249</v>
      </c>
      <c r="I492" s="26"/>
      <c r="J492" s="27" t="s">
        <v>251</v>
      </c>
      <c r="K492" s="25"/>
      <c r="L492" s="26"/>
      <c r="M492" s="27" t="s">
        <v>260</v>
      </c>
    </row>
    <row r="493" spans="1:13" ht="12">
      <c r="A493" s="24" t="s">
        <v>4</v>
      </c>
      <c r="C493" s="28" t="s">
        <v>20</v>
      </c>
      <c r="E493" s="24" t="s">
        <v>4</v>
      </c>
      <c r="F493" s="25"/>
      <c r="G493" s="26" t="s">
        <v>6</v>
      </c>
      <c r="H493" s="27" t="s">
        <v>7</v>
      </c>
      <c r="I493" s="26" t="s">
        <v>6</v>
      </c>
      <c r="J493" s="27" t="s">
        <v>7</v>
      </c>
      <c r="K493" s="25"/>
      <c r="L493" s="26" t="s">
        <v>6</v>
      </c>
      <c r="M493" s="27" t="s">
        <v>8</v>
      </c>
    </row>
    <row r="494" spans="1:13" ht="12">
      <c r="A494" s="21" t="s">
        <v>1</v>
      </c>
      <c r="B494" s="21" t="s">
        <v>1</v>
      </c>
      <c r="C494" s="21" t="s">
        <v>1</v>
      </c>
      <c r="D494" s="21" t="s">
        <v>1</v>
      </c>
      <c r="E494" s="21" t="s">
        <v>1</v>
      </c>
      <c r="F494" s="21" t="s">
        <v>1</v>
      </c>
      <c r="G494" s="21"/>
      <c r="H494" s="21"/>
      <c r="I494" s="22" t="s">
        <v>1</v>
      </c>
      <c r="J494" s="23" t="s">
        <v>1</v>
      </c>
      <c r="K494" s="21" t="s">
        <v>1</v>
      </c>
      <c r="L494" s="22" t="s">
        <v>1</v>
      </c>
      <c r="M494" s="23" t="s">
        <v>1</v>
      </c>
    </row>
    <row r="495" spans="1:13" ht="12">
      <c r="A495" s="11">
        <v>1</v>
      </c>
      <c r="C495" s="12" t="s">
        <v>36</v>
      </c>
      <c r="E495" s="11">
        <v>1</v>
      </c>
      <c r="F495" s="13"/>
      <c r="G495" s="104">
        <v>478.53</v>
      </c>
      <c r="H495" s="1">
        <v>34643890</v>
      </c>
      <c r="I495" s="104">
        <f>J495/76016</f>
        <v>514.4645074721111</v>
      </c>
      <c r="J495" s="1">
        <f>34470607+1916965+2674028+32993+10155-29252+32038</f>
        <v>39107534</v>
      </c>
      <c r="K495" s="1"/>
      <c r="L495" s="104">
        <v>529.82</v>
      </c>
      <c r="M495" s="88">
        <f>38935333+3300878+4108+47973</f>
        <v>42288292</v>
      </c>
    </row>
    <row r="496" spans="1:13" ht="12">
      <c r="A496" s="11">
        <v>2</v>
      </c>
      <c r="C496" s="12" t="s">
        <v>37</v>
      </c>
      <c r="E496" s="11">
        <v>2</v>
      </c>
      <c r="F496" s="13"/>
      <c r="G496" s="104"/>
      <c r="H496" s="1">
        <v>8617571</v>
      </c>
      <c r="I496" s="104"/>
      <c r="J496" s="1">
        <f>8644370+18133+711477+7563+2152-6629+7261</f>
        <v>9384327</v>
      </c>
      <c r="K496" s="1"/>
      <c r="L496" s="104"/>
      <c r="M496" s="88">
        <f>8838953+1032650+913+11804</f>
        <v>9884320</v>
      </c>
    </row>
    <row r="497" spans="1:13" ht="12">
      <c r="A497" s="11">
        <v>3</v>
      </c>
      <c r="C497" s="12" t="s">
        <v>219</v>
      </c>
      <c r="E497" s="11">
        <v>3</v>
      </c>
      <c r="F497" s="13"/>
      <c r="G497" s="104">
        <v>208.35</v>
      </c>
      <c r="H497" s="1">
        <v>6708968</v>
      </c>
      <c r="I497" s="104">
        <f>J497/33811</f>
        <v>156.74120848244655</v>
      </c>
      <c r="J497" s="1">
        <f>4879637+419940</f>
        <v>5299577</v>
      </c>
      <c r="K497" s="1"/>
      <c r="L497" s="104">
        <v>189.02</v>
      </c>
      <c r="M497" s="88">
        <f>5755063+656525+292655+6508</f>
        <v>6710751</v>
      </c>
    </row>
    <row r="498" spans="1:13" ht="12">
      <c r="A498" s="11">
        <v>4</v>
      </c>
      <c r="C498" s="12" t="s">
        <v>23</v>
      </c>
      <c r="E498" s="11">
        <v>4</v>
      </c>
      <c r="F498" s="13"/>
      <c r="G498" s="104">
        <f>SUM(G495:G497)</f>
        <v>686.88</v>
      </c>
      <c r="H498" s="184">
        <f aca="true" t="shared" si="14" ref="H498:M498">SUM(H495:H497)</f>
        <v>49970429</v>
      </c>
      <c r="I498" s="104">
        <f t="shared" si="14"/>
        <v>671.2057159545577</v>
      </c>
      <c r="J498" s="184">
        <f t="shared" si="14"/>
        <v>53791438</v>
      </c>
      <c r="K498" s="105"/>
      <c r="L498" s="104">
        <f t="shared" si="14"/>
        <v>718.84</v>
      </c>
      <c r="M498" s="184">
        <f t="shared" si="14"/>
        <v>58883363</v>
      </c>
    </row>
    <row r="499" spans="1:13" ht="12">
      <c r="A499" s="11">
        <v>5</v>
      </c>
      <c r="E499" s="11">
        <v>5</v>
      </c>
      <c r="F499" s="13"/>
      <c r="G499" s="104"/>
      <c r="H499" s="1"/>
      <c r="I499" s="104"/>
      <c r="J499" s="1"/>
      <c r="K499" s="100"/>
      <c r="L499" s="104"/>
      <c r="M499" s="1"/>
    </row>
    <row r="500" spans="1:13" ht="12">
      <c r="A500" s="11">
        <v>6</v>
      </c>
      <c r="C500" s="12" t="s">
        <v>24</v>
      </c>
      <c r="E500" s="11">
        <v>6</v>
      </c>
      <c r="F500" s="13"/>
      <c r="G500" s="104"/>
      <c r="H500" s="1"/>
      <c r="I500" s="104">
        <v>0</v>
      </c>
      <c r="J500" s="1"/>
      <c r="K500" s="1"/>
      <c r="L500" s="104">
        <v>0</v>
      </c>
      <c r="M500" s="1"/>
    </row>
    <row r="501" spans="1:13" ht="12">
      <c r="A501" s="11">
        <v>7</v>
      </c>
      <c r="C501" s="12" t="s">
        <v>25</v>
      </c>
      <c r="E501" s="11">
        <v>7</v>
      </c>
      <c r="F501" s="13"/>
      <c r="G501" s="104">
        <v>54.25</v>
      </c>
      <c r="H501" s="1">
        <v>2335596</v>
      </c>
      <c r="I501" s="104">
        <f>J501/44406</f>
        <v>55.34612439760393</v>
      </c>
      <c r="J501" s="1">
        <f>2444780+12920</f>
        <v>2457700</v>
      </c>
      <c r="K501" s="1"/>
      <c r="L501" s="104">
        <f>50.81+0.3</f>
        <v>51.11</v>
      </c>
      <c r="M501" s="185">
        <f>2382880+8728</f>
        <v>2391608</v>
      </c>
    </row>
    <row r="502" spans="1:13" ht="12">
      <c r="A502" s="11">
        <v>8</v>
      </c>
      <c r="C502" s="12" t="s">
        <v>26</v>
      </c>
      <c r="E502" s="11">
        <v>8</v>
      </c>
      <c r="F502" s="13"/>
      <c r="G502" s="104"/>
      <c r="H502" s="1">
        <v>536669</v>
      </c>
      <c r="I502" s="104"/>
      <c r="J502" s="1">
        <f>579907+3056</f>
        <v>582963</v>
      </c>
      <c r="K502" s="1"/>
      <c r="L502" s="104"/>
      <c r="M502" s="185">
        <f>584948+2277</f>
        <v>587225</v>
      </c>
    </row>
    <row r="503" spans="1:13" ht="12">
      <c r="A503" s="11">
        <v>9</v>
      </c>
      <c r="C503" s="12" t="s">
        <v>27</v>
      </c>
      <c r="E503" s="11">
        <v>9</v>
      </c>
      <c r="F503" s="13"/>
      <c r="G503" s="104">
        <f>SUM(G500:G502)</f>
        <v>54.25</v>
      </c>
      <c r="H503" s="1">
        <f>SUM(H500:H502)</f>
        <v>2872265</v>
      </c>
      <c r="I503" s="104">
        <f>SUM(I500:I502)</f>
        <v>55.34612439760393</v>
      </c>
      <c r="J503" s="1">
        <f>SUM(J500:J502)</f>
        <v>3040663</v>
      </c>
      <c r="K503" s="101"/>
      <c r="L503" s="104">
        <f>SUM(L500:L502)</f>
        <v>51.11</v>
      </c>
      <c r="M503" s="1">
        <f>SUM(M500:M502)</f>
        <v>2978833</v>
      </c>
    </row>
    <row r="504" spans="1:13" ht="12">
      <c r="A504" s="11">
        <v>10</v>
      </c>
      <c r="E504" s="11">
        <v>10</v>
      </c>
      <c r="F504" s="13"/>
      <c r="G504" s="104"/>
      <c r="H504" s="1"/>
      <c r="I504" s="106"/>
      <c r="J504" s="1"/>
      <c r="K504" s="100"/>
      <c r="L504" s="106"/>
      <c r="M504" s="1"/>
    </row>
    <row r="505" spans="1:13" ht="12">
      <c r="A505" s="11">
        <v>11</v>
      </c>
      <c r="C505" s="12" t="s">
        <v>28</v>
      </c>
      <c r="E505" s="11">
        <v>11</v>
      </c>
      <c r="G505" s="107">
        <f>SUM(G498+G503)</f>
        <v>741.13</v>
      </c>
      <c r="H505" s="100">
        <f>SUM(H498+H503)</f>
        <v>52842694</v>
      </c>
      <c r="I505" s="107">
        <f>SUM(I498+I503)</f>
        <v>726.5518403521617</v>
      </c>
      <c r="J505" s="100">
        <f>SUM(J498+J503)</f>
        <v>56832101</v>
      </c>
      <c r="K505" s="100"/>
      <c r="L505" s="107">
        <f>SUM(L498+L503)</f>
        <v>769.95</v>
      </c>
      <c r="M505" s="100">
        <f>SUM(M498+M503)</f>
        <v>61862196</v>
      </c>
    </row>
    <row r="506" spans="1:13" ht="12">
      <c r="A506" s="11">
        <v>12</v>
      </c>
      <c r="E506" s="11">
        <v>12</v>
      </c>
      <c r="G506" s="107"/>
      <c r="H506" s="100"/>
      <c r="I506" s="107"/>
      <c r="J506" s="100"/>
      <c r="K506" s="100"/>
      <c r="L506" s="107"/>
      <c r="M506" s="100"/>
    </row>
    <row r="507" spans="1:13" ht="12">
      <c r="A507" s="11">
        <v>13</v>
      </c>
      <c r="C507" s="12" t="s">
        <v>29</v>
      </c>
      <c r="E507" s="11">
        <v>13</v>
      </c>
      <c r="F507" s="13"/>
      <c r="G507" s="104"/>
      <c r="H507" s="1">
        <v>713626</v>
      </c>
      <c r="I507" s="104"/>
      <c r="J507" s="1">
        <f>826445+5400+290+1</f>
        <v>832136</v>
      </c>
      <c r="K507" s="1"/>
      <c r="L507" s="104"/>
      <c r="M507" s="88">
        <f>656379+3527</f>
        <v>659906</v>
      </c>
    </row>
    <row r="508" spans="1:13" ht="12">
      <c r="A508" s="11">
        <v>14</v>
      </c>
      <c r="E508" s="11">
        <v>14</v>
      </c>
      <c r="F508" s="13"/>
      <c r="G508" s="104"/>
      <c r="H508" s="1"/>
      <c r="I508" s="104"/>
      <c r="J508" s="1"/>
      <c r="K508" s="1"/>
      <c r="L508" s="104"/>
      <c r="M508" s="1"/>
    </row>
    <row r="509" spans="1:13" ht="12">
      <c r="A509" s="11">
        <v>15</v>
      </c>
      <c r="C509" s="12" t="s">
        <v>30</v>
      </c>
      <c r="E509" s="11">
        <v>15</v>
      </c>
      <c r="F509" s="13"/>
      <c r="G509" s="104"/>
      <c r="H509" s="1">
        <v>544201</v>
      </c>
      <c r="I509" s="104"/>
      <c r="J509" s="1">
        <f>592511+162</f>
        <v>592673</v>
      </c>
      <c r="K509" s="1"/>
      <c r="L509" s="104"/>
      <c r="M509" s="88">
        <v>269076</v>
      </c>
    </row>
    <row r="510" spans="1:13" ht="12">
      <c r="A510" s="11">
        <v>16</v>
      </c>
      <c r="C510" s="12"/>
      <c r="E510" s="11">
        <v>16</v>
      </c>
      <c r="F510" s="13"/>
      <c r="G510" s="104"/>
      <c r="H510" s="1"/>
      <c r="I510" s="104"/>
      <c r="J510" s="1"/>
      <c r="K510" s="1"/>
      <c r="L510" s="104"/>
      <c r="M510" s="1"/>
    </row>
    <row r="511" spans="1:13" ht="18.75" customHeight="1">
      <c r="A511" s="11">
        <v>17</v>
      </c>
      <c r="C511" s="217" t="s">
        <v>31</v>
      </c>
      <c r="E511" s="11">
        <v>17</v>
      </c>
      <c r="F511" s="13"/>
      <c r="G511" s="104"/>
      <c r="H511" s="1">
        <v>243679</v>
      </c>
      <c r="I511" s="104"/>
      <c r="J511" s="1">
        <f>4862918+242693+17108-104197+11834-242693-2800</f>
        <v>4784863</v>
      </c>
      <c r="K511" s="1"/>
      <c r="L511" s="104"/>
      <c r="M511" s="88">
        <f>5962931+243749+105184+219536-243749+151910-1500000-100000</f>
        <v>4839561</v>
      </c>
    </row>
    <row r="512" spans="1:13" ht="12">
      <c r="A512" s="11">
        <v>18</v>
      </c>
      <c r="C512" s="12"/>
      <c r="E512" s="11">
        <v>18</v>
      </c>
      <c r="G512" s="104"/>
      <c r="H512" s="1"/>
      <c r="I512" s="104"/>
      <c r="J512" s="1"/>
      <c r="K512" s="1"/>
      <c r="L512" s="104"/>
      <c r="M512" s="1"/>
    </row>
    <row r="513" spans="1:13" ht="12">
      <c r="A513" s="11">
        <v>19</v>
      </c>
      <c r="C513" s="12" t="s">
        <v>277</v>
      </c>
      <c r="E513" s="11">
        <v>19</v>
      </c>
      <c r="G513" s="104"/>
      <c r="H513" s="1"/>
      <c r="I513" s="104"/>
      <c r="J513" s="1">
        <f>199626-199626</f>
        <v>0</v>
      </c>
      <c r="K513" s="1"/>
      <c r="L513" s="104"/>
      <c r="M513" s="1"/>
    </row>
    <row r="514" spans="1:13" ht="12">
      <c r="A514" s="11">
        <v>20</v>
      </c>
      <c r="C514" s="12"/>
      <c r="E514" s="11">
        <v>20</v>
      </c>
      <c r="G514" s="104"/>
      <c r="H514" s="1"/>
      <c r="I514" s="104"/>
      <c r="J514" s="1"/>
      <c r="K514" s="1"/>
      <c r="L514" s="104"/>
      <c r="M514" s="1"/>
    </row>
    <row r="515" spans="1:13" ht="12">
      <c r="A515" s="11">
        <v>21</v>
      </c>
      <c r="C515" s="12"/>
      <c r="E515" s="11">
        <v>21</v>
      </c>
      <c r="G515" s="104"/>
      <c r="H515" s="1"/>
      <c r="I515" s="104"/>
      <c r="J515" s="1"/>
      <c r="K515" s="1"/>
      <c r="L515" s="104"/>
      <c r="M515" s="1"/>
    </row>
    <row r="516" spans="1:13" ht="12">
      <c r="A516" s="11">
        <v>22</v>
      </c>
      <c r="C516" s="12"/>
      <c r="E516" s="11">
        <v>22</v>
      </c>
      <c r="G516" s="104"/>
      <c r="H516" s="1"/>
      <c r="I516" s="104"/>
      <c r="J516" s="1"/>
      <c r="K516" s="1"/>
      <c r="L516" s="104"/>
      <c r="M516" s="1"/>
    </row>
    <row r="517" spans="1:13" ht="12">
      <c r="A517" s="11">
        <v>23</v>
      </c>
      <c r="C517" s="12"/>
      <c r="E517" s="11">
        <v>23</v>
      </c>
      <c r="G517" s="104"/>
      <c r="H517" s="1"/>
      <c r="I517" s="104"/>
      <c r="J517" s="1"/>
      <c r="K517" s="1"/>
      <c r="L517" s="104"/>
      <c r="M517" s="1"/>
    </row>
    <row r="518" spans="1:13" ht="12">
      <c r="A518" s="11">
        <v>24</v>
      </c>
      <c r="C518" s="12"/>
      <c r="E518" s="11">
        <v>24</v>
      </c>
      <c r="G518" s="104"/>
      <c r="H518" s="1"/>
      <c r="I518" s="104"/>
      <c r="J518" s="1"/>
      <c r="K518" s="1"/>
      <c r="L518" s="104"/>
      <c r="M518" s="1"/>
    </row>
    <row r="519" spans="1:13" ht="12">
      <c r="A519" s="11"/>
      <c r="C519" s="12"/>
      <c r="E519" s="11"/>
      <c r="G519" s="104"/>
      <c r="H519" s="1"/>
      <c r="I519" s="104"/>
      <c r="J519" s="1"/>
      <c r="K519" s="1"/>
      <c r="L519" s="104"/>
      <c r="M519" s="1"/>
    </row>
    <row r="520" spans="1:13" ht="12">
      <c r="A520" s="11"/>
      <c r="E520" s="11"/>
      <c r="G520" s="104"/>
      <c r="H520" s="1"/>
      <c r="I520" s="104"/>
      <c r="J520" s="1"/>
      <c r="K520" s="1"/>
      <c r="L520" s="104"/>
      <c r="M520" s="1"/>
    </row>
    <row r="521" spans="1:13" ht="12">
      <c r="A521" s="11"/>
      <c r="E521" s="11"/>
      <c r="F521" s="90" t="s">
        <v>1</v>
      </c>
      <c r="G521" s="89"/>
      <c r="H521" s="90"/>
      <c r="I521" s="89"/>
      <c r="J521" s="23"/>
      <c r="K521" s="90"/>
      <c r="L521" s="89"/>
      <c r="M521" s="23"/>
    </row>
    <row r="522" spans="1:13" ht="15.75" customHeight="1">
      <c r="A522" s="11">
        <v>25</v>
      </c>
      <c r="C522" s="12" t="s">
        <v>234</v>
      </c>
      <c r="E522" s="11">
        <v>25</v>
      </c>
      <c r="G522" s="107">
        <f>SUM(G505:G515)</f>
        <v>741.13</v>
      </c>
      <c r="H522" s="100">
        <f>SUM(H505:H515)</f>
        <v>54344200</v>
      </c>
      <c r="I522" s="107">
        <f>SUM(I505:I515)</f>
        <v>726.5518403521617</v>
      </c>
      <c r="J522" s="100">
        <f>SUM(J505:J515)</f>
        <v>63041773</v>
      </c>
      <c r="K522" s="108"/>
      <c r="L522" s="107">
        <f>SUM(L505:L515)</f>
        <v>769.95</v>
      </c>
      <c r="M522" s="100">
        <f>SUM(M505:M515)</f>
        <v>67630739</v>
      </c>
    </row>
    <row r="523" spans="6:13" ht="12">
      <c r="F523" s="90" t="s">
        <v>1</v>
      </c>
      <c r="G523" s="90"/>
      <c r="H523" s="90"/>
      <c r="I523" s="22"/>
      <c r="J523" s="23"/>
      <c r="K523" s="90"/>
      <c r="L523" s="22"/>
      <c r="M523" s="23"/>
    </row>
    <row r="524" ht="12">
      <c r="A524" s="12"/>
    </row>
    <row r="526" spans="1:13" s="46" customFormat="1" ht="12">
      <c r="A526" s="19" t="str">
        <f>$A$36</f>
        <v>Institution No.:  GFD</v>
      </c>
      <c r="E526" s="51"/>
      <c r="I526" s="52"/>
      <c r="J526" s="53"/>
      <c r="L526" s="52"/>
      <c r="M526" s="18" t="s">
        <v>33</v>
      </c>
    </row>
    <row r="527" spans="1:13" s="46" customFormat="1" ht="12">
      <c r="A527" s="274" t="s">
        <v>149</v>
      </c>
      <c r="B527" s="274"/>
      <c r="C527" s="274"/>
      <c r="D527" s="274"/>
      <c r="E527" s="274"/>
      <c r="F527" s="274"/>
      <c r="G527" s="274"/>
      <c r="H527" s="274"/>
      <c r="I527" s="274"/>
      <c r="J527" s="274"/>
      <c r="K527" s="274"/>
      <c r="L527" s="274"/>
      <c r="M527" s="274"/>
    </row>
    <row r="528" spans="1:13" ht="12">
      <c r="A528" s="19" t="s">
        <v>664</v>
      </c>
      <c r="C528" s="7" t="s">
        <v>665</v>
      </c>
      <c r="F528" s="92"/>
      <c r="G528" s="92"/>
      <c r="H528" s="92"/>
      <c r="I528" s="85"/>
      <c r="J528" s="86"/>
      <c r="L528" s="17"/>
      <c r="M528" s="20" t="str">
        <f>$M$3</f>
        <v>Date: 10/1/2008</v>
      </c>
    </row>
    <row r="529" spans="1:13" ht="12">
      <c r="A529" s="21" t="s">
        <v>1</v>
      </c>
      <c r="B529" s="21" t="s">
        <v>1</v>
      </c>
      <c r="C529" s="21" t="s">
        <v>1</v>
      </c>
      <c r="D529" s="21" t="s">
        <v>1</v>
      </c>
      <c r="E529" s="21" t="s">
        <v>1</v>
      </c>
      <c r="F529" s="21" t="s">
        <v>1</v>
      </c>
      <c r="G529" s="21"/>
      <c r="H529" s="21"/>
      <c r="I529" s="22" t="s">
        <v>1</v>
      </c>
      <c r="J529" s="23" t="s">
        <v>1</v>
      </c>
      <c r="K529" s="21" t="s">
        <v>1</v>
      </c>
      <c r="L529" s="22" t="s">
        <v>1</v>
      </c>
      <c r="M529" s="23" t="s">
        <v>1</v>
      </c>
    </row>
    <row r="530" spans="1:13" ht="12">
      <c r="A530" s="24" t="s">
        <v>2</v>
      </c>
      <c r="E530" s="24" t="s">
        <v>2</v>
      </c>
      <c r="F530" s="25"/>
      <c r="G530" s="26"/>
      <c r="H530" s="25" t="s">
        <v>249</v>
      </c>
      <c r="I530" s="26"/>
      <c r="J530" s="27" t="s">
        <v>251</v>
      </c>
      <c r="K530" s="25"/>
      <c r="L530" s="26"/>
      <c r="M530" s="27" t="s">
        <v>260</v>
      </c>
    </row>
    <row r="531" spans="1:13" ht="12">
      <c r="A531" s="24" t="s">
        <v>4</v>
      </c>
      <c r="C531" s="28" t="s">
        <v>20</v>
      </c>
      <c r="E531" s="24" t="s">
        <v>4</v>
      </c>
      <c r="F531" s="25"/>
      <c r="G531" s="26" t="s">
        <v>6</v>
      </c>
      <c r="H531" s="27" t="s">
        <v>7</v>
      </c>
      <c r="I531" s="26" t="s">
        <v>6</v>
      </c>
      <c r="J531" s="27" t="s">
        <v>7</v>
      </c>
      <c r="K531" s="25"/>
      <c r="L531" s="26" t="s">
        <v>6</v>
      </c>
      <c r="M531" s="27" t="s">
        <v>8</v>
      </c>
    </row>
    <row r="532" spans="1:13" ht="12">
      <c r="A532" s="21" t="s">
        <v>1</v>
      </c>
      <c r="B532" s="21" t="s">
        <v>1</v>
      </c>
      <c r="C532" s="21" t="s">
        <v>1</v>
      </c>
      <c r="D532" s="21" t="s">
        <v>1</v>
      </c>
      <c r="E532" s="21" t="s">
        <v>1</v>
      </c>
      <c r="F532" s="21" t="s">
        <v>1</v>
      </c>
      <c r="G532" s="21"/>
      <c r="H532" s="21"/>
      <c r="I532" s="22" t="s">
        <v>1</v>
      </c>
      <c r="J532" s="23" t="s">
        <v>1</v>
      </c>
      <c r="K532" s="21" t="s">
        <v>1</v>
      </c>
      <c r="L532" s="22" t="s">
        <v>1</v>
      </c>
      <c r="M532" s="23" t="s">
        <v>1</v>
      </c>
    </row>
    <row r="533" spans="1:13" ht="12">
      <c r="A533" s="11">
        <v>1</v>
      </c>
      <c r="C533" s="12" t="s">
        <v>36</v>
      </c>
      <c r="E533" s="11">
        <v>1</v>
      </c>
      <c r="F533" s="13"/>
      <c r="G533" s="109">
        <v>0.14</v>
      </c>
      <c r="H533" s="2">
        <v>7804</v>
      </c>
      <c r="I533" s="109">
        <v>0.56</v>
      </c>
      <c r="J533" s="1">
        <f>28433+4523</f>
        <v>32956</v>
      </c>
      <c r="K533" s="110"/>
      <c r="L533" s="109">
        <v>0</v>
      </c>
      <c r="M533" s="1"/>
    </row>
    <row r="534" spans="1:13" ht="12">
      <c r="A534" s="11">
        <v>2</v>
      </c>
      <c r="C534" s="12" t="s">
        <v>37</v>
      </c>
      <c r="E534" s="11">
        <v>2</v>
      </c>
      <c r="F534" s="13"/>
      <c r="G534" s="109"/>
      <c r="H534" s="2">
        <v>1801</v>
      </c>
      <c r="I534" s="109"/>
      <c r="J534" s="1">
        <f>6173+15</f>
        <v>6188</v>
      </c>
      <c r="K534" s="110"/>
      <c r="L534" s="109"/>
      <c r="M534" s="1"/>
    </row>
    <row r="535" spans="1:13" ht="12">
      <c r="A535" s="11">
        <v>3</v>
      </c>
      <c r="C535" s="12" t="s">
        <v>34</v>
      </c>
      <c r="E535" s="11">
        <v>3</v>
      </c>
      <c r="F535" s="13"/>
      <c r="G535" s="109"/>
      <c r="H535" s="2">
        <v>299</v>
      </c>
      <c r="I535" s="109">
        <v>0</v>
      </c>
      <c r="J535" s="1"/>
      <c r="K535" s="110"/>
      <c r="L535" s="109">
        <v>0</v>
      </c>
      <c r="M535" s="1">
        <v>0</v>
      </c>
    </row>
    <row r="536" spans="1:13" ht="12">
      <c r="A536" s="11">
        <v>4</v>
      </c>
      <c r="C536" s="12" t="s">
        <v>23</v>
      </c>
      <c r="E536" s="11">
        <v>4</v>
      </c>
      <c r="F536" s="13"/>
      <c r="G536" s="109">
        <f>SUM(G533:G535)</f>
        <v>0.14</v>
      </c>
      <c r="H536" s="2">
        <f>SUM(H533:H535)</f>
        <v>9904</v>
      </c>
      <c r="I536" s="109">
        <f>SUM(I533:I535)</f>
        <v>0.56</v>
      </c>
      <c r="J536" s="1">
        <f>SUM(J533:J535)</f>
        <v>39144</v>
      </c>
      <c r="K536" s="30"/>
      <c r="L536" s="109">
        <f>SUM(L533:L535)</f>
        <v>0</v>
      </c>
      <c r="M536" s="1">
        <f>SUM(M533:M535)</f>
        <v>0</v>
      </c>
    </row>
    <row r="537" spans="1:13" ht="12">
      <c r="A537" s="11">
        <v>5</v>
      </c>
      <c r="E537" s="11">
        <v>5</v>
      </c>
      <c r="F537" s="13"/>
      <c r="G537" s="109"/>
      <c r="H537" s="2"/>
      <c r="I537" s="109"/>
      <c r="J537" s="1"/>
      <c r="K537" s="30"/>
      <c r="L537" s="109"/>
      <c r="M537" s="1"/>
    </row>
    <row r="538" spans="1:13" ht="12">
      <c r="A538" s="11">
        <v>6</v>
      </c>
      <c r="C538" s="12" t="s">
        <v>24</v>
      </c>
      <c r="E538" s="11">
        <v>6</v>
      </c>
      <c r="F538" s="13"/>
      <c r="G538" s="109"/>
      <c r="H538" s="2"/>
      <c r="I538" s="109">
        <v>0</v>
      </c>
      <c r="J538" s="1"/>
      <c r="K538" s="110"/>
      <c r="L538" s="109">
        <v>0</v>
      </c>
      <c r="M538" s="1"/>
    </row>
    <row r="539" spans="1:13" ht="12">
      <c r="A539" s="11">
        <v>7</v>
      </c>
      <c r="C539" s="12" t="s">
        <v>25</v>
      </c>
      <c r="E539" s="11">
        <v>7</v>
      </c>
      <c r="F539" s="13"/>
      <c r="G539" s="109">
        <v>0</v>
      </c>
      <c r="H539" s="2">
        <v>0</v>
      </c>
      <c r="I539" s="109">
        <v>0</v>
      </c>
      <c r="J539" s="1"/>
      <c r="K539" s="110"/>
      <c r="L539" s="109">
        <v>0</v>
      </c>
      <c r="M539" s="1"/>
    </row>
    <row r="540" spans="1:13" ht="12">
      <c r="A540" s="11">
        <v>8</v>
      </c>
      <c r="C540" s="12" t="s">
        <v>26</v>
      </c>
      <c r="E540" s="11">
        <v>8</v>
      </c>
      <c r="F540" s="13"/>
      <c r="G540" s="109"/>
      <c r="H540" s="2">
        <v>0</v>
      </c>
      <c r="I540" s="109"/>
      <c r="J540" s="1"/>
      <c r="K540" s="110"/>
      <c r="L540" s="109"/>
      <c r="M540" s="1"/>
    </row>
    <row r="541" spans="1:13" ht="12">
      <c r="A541" s="11">
        <v>9</v>
      </c>
      <c r="C541" s="12" t="s">
        <v>27</v>
      </c>
      <c r="E541" s="11">
        <v>9</v>
      </c>
      <c r="F541" s="13"/>
      <c r="G541" s="109">
        <f>SUM(G538:G540)</f>
        <v>0</v>
      </c>
      <c r="H541" s="2">
        <f>SUM(H538:H540)</f>
        <v>0</v>
      </c>
      <c r="I541" s="109">
        <f>SUM(I538:I540)</f>
        <v>0</v>
      </c>
      <c r="J541" s="1">
        <f>SUM(J538:J540)</f>
        <v>0</v>
      </c>
      <c r="K541" s="31"/>
      <c r="L541" s="109">
        <f>SUM(L538:L540)</f>
        <v>0</v>
      </c>
      <c r="M541" s="1">
        <f>SUM(M538:M540)</f>
        <v>0</v>
      </c>
    </row>
    <row r="542" spans="1:13" ht="12">
      <c r="A542" s="11">
        <v>10</v>
      </c>
      <c r="E542" s="11">
        <v>10</v>
      </c>
      <c r="F542" s="13"/>
      <c r="G542" s="109"/>
      <c r="H542" s="2"/>
      <c r="I542" s="82"/>
      <c r="J542" s="1"/>
      <c r="K542" s="30"/>
      <c r="L542" s="82"/>
      <c r="M542" s="1"/>
    </row>
    <row r="543" spans="1:13" ht="12">
      <c r="A543" s="11">
        <v>11</v>
      </c>
      <c r="C543" s="12" t="s">
        <v>28</v>
      </c>
      <c r="E543" s="11">
        <v>11</v>
      </c>
      <c r="G543" s="111">
        <f>SUM(G536+G541)</f>
        <v>0.14</v>
      </c>
      <c r="H543" s="65">
        <f>SUM(H536+H541)</f>
        <v>9904</v>
      </c>
      <c r="I543" s="111">
        <f>SUM(I536+I541)</f>
        <v>0.56</v>
      </c>
      <c r="J543" s="100">
        <f>SUM(J536+J541)</f>
        <v>39144</v>
      </c>
      <c r="K543" s="30"/>
      <c r="L543" s="111">
        <f>SUM(L536+L541)</f>
        <v>0</v>
      </c>
      <c r="M543" s="100">
        <f>SUM(M536+M541)</f>
        <v>0</v>
      </c>
    </row>
    <row r="544" spans="1:13" ht="12">
      <c r="A544" s="11">
        <v>12</v>
      </c>
      <c r="E544" s="11">
        <v>12</v>
      </c>
      <c r="G544" s="111"/>
      <c r="H544" s="65"/>
      <c r="I544" s="111"/>
      <c r="J544" s="100"/>
      <c r="K544" s="30"/>
      <c r="L544" s="111"/>
      <c r="M544" s="100"/>
    </row>
    <row r="545" spans="1:13" ht="12">
      <c r="A545" s="11">
        <v>13</v>
      </c>
      <c r="C545" s="12" t="s">
        <v>29</v>
      </c>
      <c r="E545" s="11">
        <v>13</v>
      </c>
      <c r="F545" s="13"/>
      <c r="G545" s="109"/>
      <c r="H545" s="2">
        <v>0</v>
      </c>
      <c r="I545" s="109"/>
      <c r="J545" s="1"/>
      <c r="K545" s="110"/>
      <c r="L545" s="109"/>
      <c r="M545" s="1">
        <v>0</v>
      </c>
    </row>
    <row r="546" spans="1:13" ht="12">
      <c r="A546" s="11">
        <v>14</v>
      </c>
      <c r="E546" s="11">
        <v>14</v>
      </c>
      <c r="F546" s="13"/>
      <c r="G546" s="109"/>
      <c r="H546" s="2"/>
      <c r="I546" s="109"/>
      <c r="J546" s="1"/>
      <c r="K546" s="110"/>
      <c r="L546" s="109"/>
      <c r="M546" s="1"/>
    </row>
    <row r="547" spans="1:13" ht="12">
      <c r="A547" s="11">
        <v>15</v>
      </c>
      <c r="C547" s="12" t="s">
        <v>30</v>
      </c>
      <c r="E547" s="11">
        <v>15</v>
      </c>
      <c r="F547" s="13"/>
      <c r="G547" s="109"/>
      <c r="H547" s="2">
        <v>6503</v>
      </c>
      <c r="I547" s="109"/>
      <c r="J547" s="1">
        <v>1485</v>
      </c>
      <c r="K547" s="110"/>
      <c r="L547" s="109"/>
      <c r="M547" s="1">
        <v>0</v>
      </c>
    </row>
    <row r="548" spans="1:13" ht="12">
      <c r="A548" s="11">
        <v>16</v>
      </c>
      <c r="C548" s="12" t="s">
        <v>31</v>
      </c>
      <c r="E548" s="11">
        <v>16</v>
      </c>
      <c r="F548" s="13"/>
      <c r="G548" s="109"/>
      <c r="H548" s="2">
        <v>24990</v>
      </c>
      <c r="I548" s="109"/>
      <c r="J548" s="1">
        <f>19982+6452-6452</f>
        <v>19982</v>
      </c>
      <c r="K548" s="110"/>
      <c r="L548" s="109"/>
      <c r="M548" s="88">
        <f>50413+330615-300000-55000</f>
        <v>26028</v>
      </c>
    </row>
    <row r="549" spans="1:13" ht="12">
      <c r="A549" s="11"/>
      <c r="C549" s="12"/>
      <c r="E549" s="11"/>
      <c r="G549" s="109"/>
      <c r="H549" s="2"/>
      <c r="I549" s="109"/>
      <c r="J549" s="1"/>
      <c r="K549" s="110"/>
      <c r="L549" s="109"/>
      <c r="M549" s="1"/>
    </row>
    <row r="550" spans="1:13" ht="12">
      <c r="A550" s="11">
        <v>17</v>
      </c>
      <c r="C550" s="12" t="s">
        <v>32</v>
      </c>
      <c r="E550" s="11">
        <v>17</v>
      </c>
      <c r="G550" s="109"/>
      <c r="H550" s="2">
        <v>0</v>
      </c>
      <c r="I550" s="109"/>
      <c r="J550" s="1"/>
      <c r="K550" s="110"/>
      <c r="L550" s="109"/>
      <c r="M550" s="1">
        <v>0</v>
      </c>
    </row>
    <row r="551" spans="1:13" ht="12">
      <c r="A551" s="11">
        <v>18</v>
      </c>
      <c r="C551" s="12"/>
      <c r="E551" s="11">
        <v>18</v>
      </c>
      <c r="G551" s="109"/>
      <c r="H551" s="2"/>
      <c r="I551" s="109"/>
      <c r="J551" s="98"/>
      <c r="K551" s="13"/>
      <c r="L551" s="109"/>
      <c r="M551" s="98"/>
    </row>
    <row r="552" spans="1:13" ht="12">
      <c r="A552" s="11">
        <v>19</v>
      </c>
      <c r="C552" s="12"/>
      <c r="E552" s="11">
        <v>19</v>
      </c>
      <c r="G552" s="109"/>
      <c r="H552" s="2"/>
      <c r="I552" s="109"/>
      <c r="J552" s="98"/>
      <c r="K552" s="13"/>
      <c r="L552" s="109"/>
      <c r="M552" s="98"/>
    </row>
    <row r="553" spans="1:13" ht="12">
      <c r="A553" s="11">
        <v>20</v>
      </c>
      <c r="C553" s="12"/>
      <c r="E553" s="11">
        <v>20</v>
      </c>
      <c r="G553" s="109"/>
      <c r="H553" s="2"/>
      <c r="I553" s="109"/>
      <c r="J553" s="98"/>
      <c r="K553" s="13"/>
      <c r="L553" s="109"/>
      <c r="M553" s="98"/>
    </row>
    <row r="554" spans="1:13" ht="12">
      <c r="A554" s="11">
        <v>21</v>
      </c>
      <c r="C554" s="12"/>
      <c r="E554" s="11">
        <v>21</v>
      </c>
      <c r="G554" s="109"/>
      <c r="H554" s="2"/>
      <c r="I554" s="109"/>
      <c r="J554" s="98"/>
      <c r="K554" s="13"/>
      <c r="L554" s="109"/>
      <c r="M554" s="98"/>
    </row>
    <row r="555" spans="1:13" ht="12">
      <c r="A555" s="11">
        <v>22</v>
      </c>
      <c r="C555" s="12"/>
      <c r="E555" s="11">
        <v>22</v>
      </c>
      <c r="G555" s="109"/>
      <c r="H555" s="2"/>
      <c r="I555" s="109"/>
      <c r="J555" s="98"/>
      <c r="K555" s="13"/>
      <c r="L555" s="109"/>
      <c r="M555" s="98"/>
    </row>
    <row r="556" spans="1:13" ht="12">
      <c r="A556" s="11">
        <v>23</v>
      </c>
      <c r="C556" s="12"/>
      <c r="E556" s="11">
        <v>23</v>
      </c>
      <c r="G556" s="109"/>
      <c r="H556" s="2"/>
      <c r="I556" s="109"/>
      <c r="J556" s="98"/>
      <c r="K556" s="13"/>
      <c r="L556" s="109"/>
      <c r="M556" s="98"/>
    </row>
    <row r="557" spans="1:13" ht="12">
      <c r="A557" s="11">
        <v>24</v>
      </c>
      <c r="C557" s="12"/>
      <c r="E557" s="11">
        <v>24</v>
      </c>
      <c r="G557" s="109"/>
      <c r="H557" s="2"/>
      <c r="I557" s="109"/>
      <c r="J557" s="98"/>
      <c r="K557" s="13"/>
      <c r="L557" s="109"/>
      <c r="M557" s="98"/>
    </row>
    <row r="558" spans="1:13" ht="12">
      <c r="A558" s="11"/>
      <c r="E558" s="11"/>
      <c r="F558" s="112" t="s">
        <v>203</v>
      </c>
      <c r="G558" s="113"/>
      <c r="H558" s="13"/>
      <c r="I558" s="113"/>
      <c r="J558" s="15"/>
      <c r="K558" s="13"/>
      <c r="L558" s="113"/>
      <c r="M558" s="23" t="s">
        <v>1</v>
      </c>
    </row>
    <row r="559" spans="1:13" ht="15.75" customHeight="1">
      <c r="A559" s="11">
        <v>25</v>
      </c>
      <c r="C559" s="12" t="s">
        <v>235</v>
      </c>
      <c r="E559" s="11">
        <v>25</v>
      </c>
      <c r="G559" s="111">
        <f>SUM(G543:G552)</f>
        <v>0.14</v>
      </c>
      <c r="H559" s="100">
        <f>SUM(H543:H552)</f>
        <v>41397</v>
      </c>
      <c r="I559" s="111">
        <f>SUM(I543:I552)</f>
        <v>0.56</v>
      </c>
      <c r="J559" s="100">
        <f>SUM(J543:J552)</f>
        <v>60611</v>
      </c>
      <c r="K559" s="30"/>
      <c r="L559" s="111">
        <f>SUM(L543:L552)</f>
        <v>0</v>
      </c>
      <c r="M559" s="100">
        <f>SUM(M543:M552)</f>
        <v>26028</v>
      </c>
    </row>
    <row r="560" spans="5:13" ht="12">
      <c r="E560" s="50"/>
      <c r="F560" s="90" t="s">
        <v>1</v>
      </c>
      <c r="G560" s="90"/>
      <c r="H560" s="90"/>
      <c r="I560" s="22" t="s">
        <v>1</v>
      </c>
      <c r="J560" s="23" t="s">
        <v>1</v>
      </c>
      <c r="K560" s="90" t="s">
        <v>1</v>
      </c>
      <c r="L560" s="22" t="s">
        <v>1</v>
      </c>
      <c r="M560" s="23" t="s">
        <v>1</v>
      </c>
    </row>
    <row r="561" spans="1:13" ht="12">
      <c r="A561" s="12"/>
      <c r="J561" s="55"/>
      <c r="M561" s="55"/>
    </row>
    <row r="562" spans="10:13" ht="12">
      <c r="J562" s="55"/>
      <c r="M562" s="55"/>
    </row>
    <row r="563" spans="1:13" s="46" customFormat="1" ht="12">
      <c r="A563" s="19" t="str">
        <f>$A$36</f>
        <v>Institution No.:  GFD</v>
      </c>
      <c r="E563" s="51"/>
      <c r="I563" s="52"/>
      <c r="J563" s="53"/>
      <c r="L563" s="52"/>
      <c r="M563" s="18" t="s">
        <v>35</v>
      </c>
    </row>
    <row r="564" spans="1:13" s="46" customFormat="1" ht="12">
      <c r="A564" s="274" t="s">
        <v>150</v>
      </c>
      <c r="B564" s="274"/>
      <c r="C564" s="274"/>
      <c r="D564" s="274"/>
      <c r="E564" s="274"/>
      <c r="F564" s="274"/>
      <c r="G564" s="274"/>
      <c r="H564" s="274"/>
      <c r="I564" s="274"/>
      <c r="J564" s="274"/>
      <c r="K564" s="274"/>
      <c r="L564" s="274"/>
      <c r="M564" s="274"/>
    </row>
    <row r="565" spans="1:13" ht="12">
      <c r="A565" s="19" t="s">
        <v>664</v>
      </c>
      <c r="C565" s="7" t="s">
        <v>665</v>
      </c>
      <c r="I565" s="103"/>
      <c r="J565" s="86"/>
      <c r="L565" s="17"/>
      <c r="M565" s="20" t="str">
        <f>$M$3</f>
        <v>Date: 10/1/2008</v>
      </c>
    </row>
    <row r="566" spans="1:13" ht="12">
      <c r="A566" s="21" t="s">
        <v>1</v>
      </c>
      <c r="B566" s="21" t="s">
        <v>1</v>
      </c>
      <c r="C566" s="21" t="s">
        <v>1</v>
      </c>
      <c r="D566" s="21" t="s">
        <v>1</v>
      </c>
      <c r="E566" s="21" t="s">
        <v>1</v>
      </c>
      <c r="F566" s="21" t="s">
        <v>1</v>
      </c>
      <c r="G566" s="21"/>
      <c r="H566" s="21"/>
      <c r="I566" s="22" t="s">
        <v>1</v>
      </c>
      <c r="J566" s="23" t="s">
        <v>1</v>
      </c>
      <c r="K566" s="21" t="s">
        <v>1</v>
      </c>
      <c r="L566" s="22" t="s">
        <v>1</v>
      </c>
      <c r="M566" s="23" t="s">
        <v>1</v>
      </c>
    </row>
    <row r="567" spans="1:13" ht="12">
      <c r="A567" s="24" t="s">
        <v>2</v>
      </c>
      <c r="E567" s="24" t="s">
        <v>2</v>
      </c>
      <c r="F567" s="25"/>
      <c r="G567" s="26"/>
      <c r="H567" s="25" t="s">
        <v>249</v>
      </c>
      <c r="I567" s="26"/>
      <c r="J567" s="27" t="s">
        <v>251</v>
      </c>
      <c r="K567" s="25"/>
      <c r="L567" s="26"/>
      <c r="M567" s="27" t="s">
        <v>260</v>
      </c>
    </row>
    <row r="568" spans="1:13" ht="12">
      <c r="A568" s="24" t="s">
        <v>4</v>
      </c>
      <c r="C568" s="28" t="s">
        <v>20</v>
      </c>
      <c r="E568" s="24" t="s">
        <v>4</v>
      </c>
      <c r="F568" s="25"/>
      <c r="G568" s="26" t="s">
        <v>6</v>
      </c>
      <c r="H568" s="27" t="s">
        <v>7</v>
      </c>
      <c r="I568" s="26" t="s">
        <v>6</v>
      </c>
      <c r="J568" s="27" t="s">
        <v>7</v>
      </c>
      <c r="K568" s="25"/>
      <c r="L568" s="26" t="s">
        <v>6</v>
      </c>
      <c r="M568" s="27" t="s">
        <v>8</v>
      </c>
    </row>
    <row r="569" spans="1:13" ht="12">
      <c r="A569" s="21" t="s">
        <v>1</v>
      </c>
      <c r="B569" s="21" t="s">
        <v>1</v>
      </c>
      <c r="C569" s="21" t="s">
        <v>1</v>
      </c>
      <c r="D569" s="21" t="s">
        <v>1</v>
      </c>
      <c r="E569" s="21" t="s">
        <v>1</v>
      </c>
      <c r="F569" s="21" t="s">
        <v>1</v>
      </c>
      <c r="G569" s="21"/>
      <c r="H569" s="21"/>
      <c r="I569" s="22" t="s">
        <v>1</v>
      </c>
      <c r="J569" s="23" t="s">
        <v>1</v>
      </c>
      <c r="K569" s="21" t="s">
        <v>1</v>
      </c>
      <c r="L569" s="22" t="s">
        <v>1</v>
      </c>
      <c r="M569" s="23" t="s">
        <v>1</v>
      </c>
    </row>
    <row r="570" spans="1:13" ht="12">
      <c r="A570" s="11">
        <v>1</v>
      </c>
      <c r="C570" s="12" t="s">
        <v>36</v>
      </c>
      <c r="E570" s="11">
        <v>1</v>
      </c>
      <c r="F570" s="13"/>
      <c r="G570" s="67">
        <v>2.13</v>
      </c>
      <c r="H570" s="2">
        <v>127299</v>
      </c>
      <c r="I570" s="186">
        <f>J570/50379</f>
        <v>1.674646181940888</v>
      </c>
      <c r="J570" s="2">
        <f>34009+4249+46109</f>
        <v>84367</v>
      </c>
      <c r="K570" s="110"/>
      <c r="L570" s="67">
        <f>0.2+0.92</f>
        <v>1.12</v>
      </c>
      <c r="M570" s="1">
        <f>24206+70330</f>
        <v>94536</v>
      </c>
    </row>
    <row r="571" spans="1:13" ht="12">
      <c r="A571" s="11">
        <v>2</v>
      </c>
      <c r="C571" s="12" t="s">
        <v>37</v>
      </c>
      <c r="E571" s="11">
        <v>2</v>
      </c>
      <c r="F571" s="13"/>
      <c r="G571" s="67"/>
      <c r="H571" s="2">
        <v>31909</v>
      </c>
      <c r="I571" s="186"/>
      <c r="J571" s="2">
        <f>9346+16+14348</f>
        <v>23710</v>
      </c>
      <c r="K571" s="110"/>
      <c r="L571" s="67"/>
      <c r="M571" s="2">
        <f>6740+21963</f>
        <v>28703</v>
      </c>
    </row>
    <row r="572" spans="1:13" ht="12">
      <c r="A572" s="11">
        <v>3</v>
      </c>
      <c r="E572" s="11">
        <v>3</v>
      </c>
      <c r="F572" s="13"/>
      <c r="G572" s="67"/>
      <c r="H572" s="2"/>
      <c r="I572" s="186"/>
      <c r="J572" s="2"/>
      <c r="K572" s="110"/>
      <c r="L572" s="67"/>
      <c r="M572" s="2"/>
    </row>
    <row r="573" spans="1:13" ht="12">
      <c r="A573" s="11">
        <v>4</v>
      </c>
      <c r="C573" s="12" t="s">
        <v>23</v>
      </c>
      <c r="E573" s="11">
        <v>4</v>
      </c>
      <c r="F573" s="13"/>
      <c r="G573" s="67">
        <f>SUM(G570:G572)</f>
        <v>2.13</v>
      </c>
      <c r="H573" s="2">
        <f>SUM(H570:H572)</f>
        <v>159208</v>
      </c>
      <c r="I573" s="186">
        <f>SUM(I570:I572)</f>
        <v>1.674646181940888</v>
      </c>
      <c r="J573" s="2">
        <f>SUM(J570:J572)</f>
        <v>108077</v>
      </c>
      <c r="K573" s="30"/>
      <c r="L573" s="67">
        <f>SUM(L570:L572)</f>
        <v>1.12</v>
      </c>
      <c r="M573" s="2">
        <f>SUM(M570:M572)</f>
        <v>123239</v>
      </c>
    </row>
    <row r="574" spans="1:13" ht="12">
      <c r="A574" s="11">
        <v>5</v>
      </c>
      <c r="E574" s="11">
        <v>5</v>
      </c>
      <c r="F574" s="13"/>
      <c r="G574" s="67"/>
      <c r="H574" s="2"/>
      <c r="I574" s="186"/>
      <c r="J574" s="2"/>
      <c r="K574" s="30"/>
      <c r="L574" s="67"/>
      <c r="M574" s="2"/>
    </row>
    <row r="575" spans="1:13" ht="12">
      <c r="A575" s="11">
        <v>6</v>
      </c>
      <c r="E575" s="11">
        <v>6</v>
      </c>
      <c r="F575" s="13"/>
      <c r="G575" s="67"/>
      <c r="H575" s="2"/>
      <c r="I575" s="186"/>
      <c r="J575" s="2"/>
      <c r="K575" s="30"/>
      <c r="L575" s="67"/>
      <c r="M575" s="2"/>
    </row>
    <row r="576" spans="1:13" ht="12">
      <c r="A576" s="11">
        <v>7</v>
      </c>
      <c r="C576" s="12" t="s">
        <v>25</v>
      </c>
      <c r="E576" s="11">
        <v>7</v>
      </c>
      <c r="F576" s="13"/>
      <c r="G576" s="67">
        <v>0</v>
      </c>
      <c r="H576" s="2">
        <v>12957</v>
      </c>
      <c r="I576" s="186">
        <v>0</v>
      </c>
      <c r="J576" s="2">
        <f>4</f>
        <v>4</v>
      </c>
      <c r="K576" s="110"/>
      <c r="L576" s="67">
        <v>0</v>
      </c>
      <c r="M576" s="2">
        <v>0</v>
      </c>
    </row>
    <row r="577" spans="1:13" ht="12">
      <c r="A577" s="11">
        <v>8</v>
      </c>
      <c r="C577" s="12" t="s">
        <v>26</v>
      </c>
      <c r="E577" s="11">
        <v>8</v>
      </c>
      <c r="F577" s="13"/>
      <c r="G577" s="67"/>
      <c r="H577" s="2">
        <v>1829</v>
      </c>
      <c r="I577" s="186"/>
      <c r="J577" s="2">
        <f>1</f>
        <v>1</v>
      </c>
      <c r="K577" s="110"/>
      <c r="L577" s="67"/>
      <c r="M577" s="2">
        <v>0</v>
      </c>
    </row>
    <row r="578" spans="1:13" ht="12">
      <c r="A578" s="11">
        <v>9</v>
      </c>
      <c r="C578" s="12" t="s">
        <v>27</v>
      </c>
      <c r="E578" s="11">
        <v>9</v>
      </c>
      <c r="F578" s="13"/>
      <c r="G578" s="67">
        <f>SUM(G576:G577)</f>
        <v>0</v>
      </c>
      <c r="H578" s="2">
        <f>SUM(H576:H577)</f>
        <v>14786</v>
      </c>
      <c r="I578" s="186">
        <f>SUM(I576:I577)</f>
        <v>0</v>
      </c>
      <c r="J578" s="2">
        <f>SUM(J576:J577)</f>
        <v>5</v>
      </c>
      <c r="K578" s="31"/>
      <c r="L578" s="67">
        <f>SUM(L576:L577)</f>
        <v>0</v>
      </c>
      <c r="M578" s="2">
        <f>SUM(M576:M577)</f>
        <v>0</v>
      </c>
    </row>
    <row r="579" spans="1:13" ht="12">
      <c r="A579" s="11">
        <v>10</v>
      </c>
      <c r="E579" s="11">
        <v>10</v>
      </c>
      <c r="F579" s="13"/>
      <c r="G579" s="67"/>
      <c r="H579" s="2"/>
      <c r="I579" s="186"/>
      <c r="J579" s="2"/>
      <c r="K579" s="30"/>
      <c r="L579" s="67"/>
      <c r="M579" s="2"/>
    </row>
    <row r="580" spans="1:13" ht="12">
      <c r="A580" s="11">
        <v>11</v>
      </c>
      <c r="C580" s="12" t="s">
        <v>28</v>
      </c>
      <c r="E580" s="11">
        <v>11</v>
      </c>
      <c r="G580" s="64">
        <f>SUM(G573,G578)</f>
        <v>2.13</v>
      </c>
      <c r="H580" s="65">
        <f>SUM(H578,H573)</f>
        <v>173994</v>
      </c>
      <c r="I580" s="187">
        <f>SUM(I573,I578)</f>
        <v>1.674646181940888</v>
      </c>
      <c r="J580" s="65">
        <f>SUM(J578,J573)</f>
        <v>108082</v>
      </c>
      <c r="K580" s="31"/>
      <c r="L580" s="64">
        <f>SUM(L573,L578)</f>
        <v>1.12</v>
      </c>
      <c r="M580" s="65">
        <f>SUM(M578,M573)</f>
        <v>123239</v>
      </c>
    </row>
    <row r="581" spans="1:13" ht="12">
      <c r="A581" s="11">
        <v>12</v>
      </c>
      <c r="E581" s="11">
        <v>12</v>
      </c>
      <c r="G581" s="64"/>
      <c r="H581" s="65"/>
      <c r="I581" s="115"/>
      <c r="J581" s="65"/>
      <c r="K581" s="30"/>
      <c r="L581" s="64"/>
      <c r="M581" s="65"/>
    </row>
    <row r="582" spans="1:13" ht="12">
      <c r="A582" s="11">
        <v>13</v>
      </c>
      <c r="C582" s="12" t="s">
        <v>38</v>
      </c>
      <c r="E582" s="11">
        <v>13</v>
      </c>
      <c r="F582" s="13"/>
      <c r="G582" s="67"/>
      <c r="H582" s="2"/>
      <c r="I582" s="114"/>
      <c r="J582" s="2">
        <f>68+1</f>
        <v>69</v>
      </c>
      <c r="K582" s="110"/>
      <c r="L582" s="67"/>
      <c r="M582" s="2"/>
    </row>
    <row r="583" spans="1:13" ht="12">
      <c r="A583" s="11">
        <v>14</v>
      </c>
      <c r="E583" s="11">
        <v>14</v>
      </c>
      <c r="F583" s="13"/>
      <c r="G583" s="67"/>
      <c r="H583" s="2"/>
      <c r="I583" s="114"/>
      <c r="J583" s="2"/>
      <c r="K583" s="110"/>
      <c r="L583" s="67"/>
      <c r="M583" s="2"/>
    </row>
    <row r="584" spans="1:13" ht="12">
      <c r="A584" s="11">
        <v>15</v>
      </c>
      <c r="C584" s="12" t="s">
        <v>30</v>
      </c>
      <c r="E584" s="11">
        <v>15</v>
      </c>
      <c r="F584" s="13"/>
      <c r="G584" s="67"/>
      <c r="H584" s="2">
        <v>16467</v>
      </c>
      <c r="I584" s="114"/>
      <c r="J584" s="2">
        <v>8497</v>
      </c>
      <c r="K584" s="110"/>
      <c r="L584" s="67"/>
      <c r="M584" s="2">
        <v>6861</v>
      </c>
    </row>
    <row r="585" spans="1:13" ht="12">
      <c r="A585" s="11">
        <v>16</v>
      </c>
      <c r="C585" s="12" t="s">
        <v>31</v>
      </c>
      <c r="E585" s="11">
        <v>16</v>
      </c>
      <c r="F585" s="13"/>
      <c r="G585" s="67"/>
      <c r="H585" s="2">
        <v>40735</v>
      </c>
      <c r="I585" s="114"/>
      <c r="J585" s="2">
        <f>19381</f>
        <v>19381</v>
      </c>
      <c r="K585" s="110"/>
      <c r="L585" s="67"/>
      <c r="M585" s="2">
        <f>29232+55829-55000</f>
        <v>30061</v>
      </c>
    </row>
    <row r="586" spans="1:13" ht="12">
      <c r="A586" s="11"/>
      <c r="C586" s="12"/>
      <c r="E586" s="11"/>
      <c r="F586" s="13"/>
      <c r="G586" s="67"/>
      <c r="H586" s="2"/>
      <c r="I586" s="114"/>
      <c r="J586" s="2"/>
      <c r="K586" s="110"/>
      <c r="L586" s="67"/>
      <c r="M586" s="2"/>
    </row>
    <row r="587" spans="1:13" ht="12">
      <c r="A587" s="11">
        <v>17</v>
      </c>
      <c r="C587" s="12" t="s">
        <v>32</v>
      </c>
      <c r="E587" s="11">
        <v>17</v>
      </c>
      <c r="F587" s="13"/>
      <c r="G587" s="67"/>
      <c r="H587" s="2"/>
      <c r="I587" s="114"/>
      <c r="J587" s="2"/>
      <c r="K587" s="110"/>
      <c r="L587" s="67"/>
      <c r="M587" s="2">
        <v>0</v>
      </c>
    </row>
    <row r="588" spans="1:13" ht="12">
      <c r="A588" s="11">
        <v>18</v>
      </c>
      <c r="C588" s="12"/>
      <c r="E588" s="11">
        <v>18</v>
      </c>
      <c r="F588" s="13"/>
      <c r="G588" s="67"/>
      <c r="H588" s="2"/>
      <c r="I588" s="114"/>
      <c r="J588" s="2"/>
      <c r="K588" s="110"/>
      <c r="L588" s="67"/>
      <c r="M588" s="2"/>
    </row>
    <row r="589" spans="1:13" ht="12">
      <c r="A589" s="11">
        <v>19</v>
      </c>
      <c r="C589" s="12"/>
      <c r="E589" s="11">
        <v>19</v>
      </c>
      <c r="F589" s="13"/>
      <c r="G589" s="67"/>
      <c r="H589" s="2"/>
      <c r="I589" s="114"/>
      <c r="J589" s="2"/>
      <c r="K589" s="110"/>
      <c r="L589" s="67"/>
      <c r="M589" s="2"/>
    </row>
    <row r="590" spans="1:13" ht="12">
      <c r="A590" s="11">
        <v>20</v>
      </c>
      <c r="C590" s="12"/>
      <c r="E590" s="11">
        <v>20</v>
      </c>
      <c r="F590" s="13"/>
      <c r="G590" s="67"/>
      <c r="H590" s="2"/>
      <c r="I590" s="114"/>
      <c r="J590" s="2"/>
      <c r="K590" s="110"/>
      <c r="L590" s="67"/>
      <c r="M590" s="2"/>
    </row>
    <row r="591" spans="1:13" ht="12">
      <c r="A591" s="11">
        <v>21</v>
      </c>
      <c r="C591" s="12"/>
      <c r="E591" s="11">
        <v>21</v>
      </c>
      <c r="F591" s="13"/>
      <c r="G591" s="67"/>
      <c r="H591" s="2"/>
      <c r="I591" s="114"/>
      <c r="J591" s="2"/>
      <c r="K591" s="110"/>
      <c r="L591" s="67"/>
      <c r="M591" s="2"/>
    </row>
    <row r="592" spans="1:13" ht="12">
      <c r="A592" s="11">
        <v>22</v>
      </c>
      <c r="C592" s="12"/>
      <c r="E592" s="11">
        <v>22</v>
      </c>
      <c r="F592" s="13"/>
      <c r="G592" s="67"/>
      <c r="H592" s="2"/>
      <c r="I592" s="114"/>
      <c r="J592" s="2"/>
      <c r="K592" s="110"/>
      <c r="L592" s="67"/>
      <c r="M592" s="2"/>
    </row>
    <row r="593" spans="1:13" ht="12">
      <c r="A593" s="11">
        <v>23</v>
      </c>
      <c r="C593" s="12"/>
      <c r="E593" s="11">
        <v>23</v>
      </c>
      <c r="F593" s="13"/>
      <c r="G593" s="67"/>
      <c r="H593" s="2"/>
      <c r="I593" s="114"/>
      <c r="J593" s="2"/>
      <c r="K593" s="110"/>
      <c r="L593" s="67"/>
      <c r="M593" s="2"/>
    </row>
    <row r="594" spans="1:13" ht="12">
      <c r="A594" s="11">
        <v>24</v>
      </c>
      <c r="C594" s="12"/>
      <c r="E594" s="11">
        <v>24</v>
      </c>
      <c r="F594" s="13"/>
      <c r="G594" s="67"/>
      <c r="H594" s="2"/>
      <c r="I594" s="114"/>
      <c r="J594" s="2"/>
      <c r="K594" s="110"/>
      <c r="L594" s="67"/>
      <c r="M594" s="2"/>
    </row>
    <row r="595" spans="5:13" ht="12">
      <c r="E595" s="50"/>
      <c r="F595" s="90" t="s">
        <v>1</v>
      </c>
      <c r="G595" s="89"/>
      <c r="H595" s="90"/>
      <c r="I595" s="23" t="s">
        <v>1</v>
      </c>
      <c r="J595" s="23" t="s">
        <v>1</v>
      </c>
      <c r="K595" s="90" t="s">
        <v>1</v>
      </c>
      <c r="L595" s="23" t="s">
        <v>1</v>
      </c>
      <c r="M595" s="23" t="s">
        <v>1</v>
      </c>
    </row>
    <row r="596" spans="1:13" ht="15.75" customHeight="1">
      <c r="A596" s="11">
        <v>25</v>
      </c>
      <c r="C596" s="12" t="s">
        <v>236</v>
      </c>
      <c r="E596" s="11">
        <v>25</v>
      </c>
      <c r="G596" s="64">
        <f>SUM(G580:G587)</f>
        <v>2.13</v>
      </c>
      <c r="H596" s="65">
        <f>SUM(H580:H587)</f>
        <v>231196</v>
      </c>
      <c r="I596" s="171">
        <f>SUM(I580:I587)</f>
        <v>1.674646181940888</v>
      </c>
      <c r="J596" s="65">
        <f>SUM(J580:J587)</f>
        <v>136029</v>
      </c>
      <c r="K596" s="65"/>
      <c r="L596" s="64">
        <f>SUM(L580:L587)</f>
        <v>1.12</v>
      </c>
      <c r="M596" s="65">
        <f>SUM(M580:M587)</f>
        <v>160161</v>
      </c>
    </row>
    <row r="597" spans="5:13" ht="12">
      <c r="E597" s="50"/>
      <c r="F597" s="90" t="s">
        <v>1</v>
      </c>
      <c r="G597" s="90"/>
      <c r="H597" s="90"/>
      <c r="I597" s="22" t="s">
        <v>1</v>
      </c>
      <c r="J597" s="23" t="s">
        <v>1</v>
      </c>
      <c r="K597" s="90" t="s">
        <v>1</v>
      </c>
      <c r="L597" s="22" t="s">
        <v>1</v>
      </c>
      <c r="M597" s="23" t="s">
        <v>1</v>
      </c>
    </row>
    <row r="598" spans="1:13" ht="12">
      <c r="A598" s="12"/>
      <c r="J598" s="55"/>
      <c r="M598" s="55"/>
    </row>
    <row r="599" spans="10:13" ht="12">
      <c r="J599" s="55"/>
      <c r="M599" s="55"/>
    </row>
    <row r="600" spans="1:13" s="46" customFormat="1" ht="12">
      <c r="A600" s="19" t="str">
        <f>$A$36</f>
        <v>Institution No.:  GFD</v>
      </c>
      <c r="E600" s="51"/>
      <c r="I600" s="52"/>
      <c r="J600" s="53"/>
      <c r="L600" s="52"/>
      <c r="M600" s="18" t="s">
        <v>39</v>
      </c>
    </row>
    <row r="601" spans="1:13" s="46" customFormat="1" ht="12">
      <c r="A601" s="274" t="s">
        <v>151</v>
      </c>
      <c r="B601" s="274"/>
      <c r="C601" s="274"/>
      <c r="D601" s="274"/>
      <c r="E601" s="274"/>
      <c r="F601" s="274"/>
      <c r="G601" s="274"/>
      <c r="H601" s="274"/>
      <c r="I601" s="274"/>
      <c r="J601" s="274"/>
      <c r="K601" s="274"/>
      <c r="L601" s="274"/>
      <c r="M601" s="274"/>
    </row>
    <row r="602" spans="1:13" ht="12">
      <c r="A602" s="19" t="s">
        <v>664</v>
      </c>
      <c r="C602" s="7" t="s">
        <v>665</v>
      </c>
      <c r="I602" s="103"/>
      <c r="J602" s="86"/>
      <c r="L602" s="17"/>
      <c r="M602" s="20" t="str">
        <f>$M$3</f>
        <v>Date: 10/1/2008</v>
      </c>
    </row>
    <row r="603" spans="1:13" ht="12">
      <c r="A603" s="21" t="s">
        <v>1</v>
      </c>
      <c r="B603" s="21" t="s">
        <v>1</v>
      </c>
      <c r="C603" s="21" t="s">
        <v>1</v>
      </c>
      <c r="D603" s="21" t="s">
        <v>1</v>
      </c>
      <c r="E603" s="21" t="s">
        <v>1</v>
      </c>
      <c r="F603" s="21" t="s">
        <v>1</v>
      </c>
      <c r="G603" s="21"/>
      <c r="H603" s="21"/>
      <c r="I603" s="22" t="s">
        <v>1</v>
      </c>
      <c r="J603" s="23" t="s">
        <v>1</v>
      </c>
      <c r="K603" s="21" t="s">
        <v>1</v>
      </c>
      <c r="L603" s="22" t="s">
        <v>1</v>
      </c>
      <c r="M603" s="23" t="s">
        <v>1</v>
      </c>
    </row>
    <row r="604" spans="1:13" ht="12">
      <c r="A604" s="24" t="s">
        <v>2</v>
      </c>
      <c r="E604" s="24" t="s">
        <v>2</v>
      </c>
      <c r="F604" s="25"/>
      <c r="G604" s="26"/>
      <c r="H604" s="25" t="s">
        <v>249</v>
      </c>
      <c r="I604" s="26"/>
      <c r="J604" s="27" t="s">
        <v>251</v>
      </c>
      <c r="K604" s="25"/>
      <c r="L604" s="26"/>
      <c r="M604" s="27" t="s">
        <v>260</v>
      </c>
    </row>
    <row r="605" spans="1:13" ht="12">
      <c r="A605" s="24" t="s">
        <v>4</v>
      </c>
      <c r="C605" s="28" t="s">
        <v>20</v>
      </c>
      <c r="E605" s="24" t="s">
        <v>4</v>
      </c>
      <c r="F605" s="25"/>
      <c r="G605" s="26" t="s">
        <v>6</v>
      </c>
      <c r="H605" s="27" t="s">
        <v>7</v>
      </c>
      <c r="I605" s="26" t="s">
        <v>6</v>
      </c>
      <c r="J605" s="27" t="s">
        <v>7</v>
      </c>
      <c r="K605" s="25"/>
      <c r="L605" s="26" t="s">
        <v>6</v>
      </c>
      <c r="M605" s="27" t="s">
        <v>8</v>
      </c>
    </row>
    <row r="606" spans="1:13" ht="12">
      <c r="A606" s="21" t="s">
        <v>1</v>
      </c>
      <c r="B606" s="21" t="s">
        <v>1</v>
      </c>
      <c r="C606" s="21" t="s">
        <v>1</v>
      </c>
      <c r="D606" s="21" t="s">
        <v>1</v>
      </c>
      <c r="E606" s="21" t="s">
        <v>1</v>
      </c>
      <c r="F606" s="21" t="s">
        <v>1</v>
      </c>
      <c r="G606" s="21"/>
      <c r="H606" s="21"/>
      <c r="I606" s="22" t="s">
        <v>1</v>
      </c>
      <c r="J606" s="23" t="s">
        <v>1</v>
      </c>
      <c r="K606" s="21" t="s">
        <v>1</v>
      </c>
      <c r="L606" s="116" t="s">
        <v>1</v>
      </c>
      <c r="M606" s="23" t="s">
        <v>1</v>
      </c>
    </row>
    <row r="607" spans="1:13" ht="12">
      <c r="A607" s="11">
        <v>1</v>
      </c>
      <c r="C607" s="12" t="s">
        <v>36</v>
      </c>
      <c r="E607" s="11">
        <v>1</v>
      </c>
      <c r="F607" s="13"/>
      <c r="G607" s="67">
        <v>104.03</v>
      </c>
      <c r="H607" s="1">
        <v>7334570</v>
      </c>
      <c r="I607" s="117">
        <f>J607/80040</f>
        <v>102.40423538230884</v>
      </c>
      <c r="J607" s="1">
        <f>1912732+18468+67056+6165519+27647+2571-25631+28073</f>
        <v>8196435</v>
      </c>
      <c r="K607" s="110"/>
      <c r="L607" s="117">
        <v>104.87</v>
      </c>
      <c r="M607" s="1">
        <f>2591731+113767+62000+7262379+2066+3991-484446-738220</f>
        <v>8813268</v>
      </c>
    </row>
    <row r="608" spans="1:13" ht="12">
      <c r="A608" s="11">
        <v>2</v>
      </c>
      <c r="C608" s="12" t="s">
        <v>37</v>
      </c>
      <c r="E608" s="11">
        <v>2</v>
      </c>
      <c r="F608" s="13"/>
      <c r="G608" s="67"/>
      <c r="H608" s="1">
        <v>1808473</v>
      </c>
      <c r="I608" s="117"/>
      <c r="J608" s="1">
        <f>507506+1994+440+1566819+5351+607-4791+5248</f>
        <v>2083174</v>
      </c>
      <c r="K608" s="110"/>
      <c r="L608" s="117"/>
      <c r="M608" s="1">
        <f>578596+8365+744+1850876+6087+879-206976</f>
        <v>2238571</v>
      </c>
    </row>
    <row r="609" spans="1:13" ht="12">
      <c r="A609" s="11">
        <v>3</v>
      </c>
      <c r="E609" s="11">
        <v>3</v>
      </c>
      <c r="F609" s="13"/>
      <c r="G609" s="67"/>
      <c r="H609" s="1"/>
      <c r="I609" s="117"/>
      <c r="J609" s="1"/>
      <c r="K609" s="110"/>
      <c r="L609" s="117"/>
      <c r="M609" s="1"/>
    </row>
    <row r="610" spans="1:13" ht="12">
      <c r="A610" s="11">
        <v>4</v>
      </c>
      <c r="C610" s="12" t="s">
        <v>23</v>
      </c>
      <c r="E610" s="11">
        <v>4</v>
      </c>
      <c r="F610" s="13"/>
      <c r="G610" s="67">
        <f>SUM(G607:G609)</f>
        <v>104.03</v>
      </c>
      <c r="H610" s="1">
        <f>SUM(H607:H609)</f>
        <v>9143043</v>
      </c>
      <c r="I610" s="117">
        <f>SUM(I607:I609)</f>
        <v>102.40423538230884</v>
      </c>
      <c r="J610" s="1">
        <f>SUM(J607:J609)</f>
        <v>10279609</v>
      </c>
      <c r="K610" s="30"/>
      <c r="L610" s="117">
        <f>SUM(L607:L609)</f>
        <v>104.87</v>
      </c>
      <c r="M610" s="1">
        <f>SUM(M607:M609)</f>
        <v>11051839</v>
      </c>
    </row>
    <row r="611" spans="1:13" ht="12">
      <c r="A611" s="11">
        <v>5</v>
      </c>
      <c r="E611" s="11">
        <v>5</v>
      </c>
      <c r="F611" s="13"/>
      <c r="G611" s="67"/>
      <c r="H611" s="1"/>
      <c r="I611" s="117"/>
      <c r="J611" s="1"/>
      <c r="K611" s="30"/>
      <c r="L611" s="117"/>
      <c r="M611" s="1"/>
    </row>
    <row r="612" spans="1:13" ht="12">
      <c r="A612" s="11">
        <v>6</v>
      </c>
      <c r="E612" s="11">
        <v>6</v>
      </c>
      <c r="F612" s="13"/>
      <c r="G612" s="67"/>
      <c r="H612" s="1"/>
      <c r="I612" s="117"/>
      <c r="J612" s="1"/>
      <c r="K612" s="30"/>
      <c r="L612" s="117"/>
      <c r="M612" s="1"/>
    </row>
    <row r="613" spans="1:13" ht="12">
      <c r="A613" s="11">
        <v>7</v>
      </c>
      <c r="C613" s="12" t="s">
        <v>25</v>
      </c>
      <c r="E613" s="11">
        <v>7</v>
      </c>
      <c r="F613" s="13"/>
      <c r="G613" s="67">
        <v>80.21</v>
      </c>
      <c r="H613" s="1">
        <v>3308694</v>
      </c>
      <c r="I613" s="117">
        <f>J613/42599</f>
        <v>84.0414094227564</v>
      </c>
      <c r="J613" s="1">
        <f>3561349+18387-3610+3954</f>
        <v>3580080</v>
      </c>
      <c r="K613" s="110"/>
      <c r="L613" s="117">
        <v>87.38</v>
      </c>
      <c r="M613" s="1">
        <f>3861534+47070</f>
        <v>3908604</v>
      </c>
    </row>
    <row r="614" spans="1:13" ht="12">
      <c r="A614" s="11">
        <v>8</v>
      </c>
      <c r="C614" s="12" t="s">
        <v>26</v>
      </c>
      <c r="E614" s="11">
        <v>8</v>
      </c>
      <c r="F614" s="13"/>
      <c r="G614" s="67"/>
      <c r="H614" s="1">
        <v>771290</v>
      </c>
      <c r="I614" s="117"/>
      <c r="J614" s="1">
        <f>890611+5129-982+1076</f>
        <v>895834</v>
      </c>
      <c r="K614" s="110"/>
      <c r="L614" s="117"/>
      <c r="M614" s="1">
        <f>1009048+4828</f>
        <v>1013876</v>
      </c>
    </row>
    <row r="615" spans="1:13" ht="12">
      <c r="A615" s="11">
        <v>9</v>
      </c>
      <c r="C615" s="12" t="s">
        <v>27</v>
      </c>
      <c r="E615" s="11">
        <v>9</v>
      </c>
      <c r="F615" s="13"/>
      <c r="G615" s="67">
        <f>SUM(G613:G614)</f>
        <v>80.21</v>
      </c>
      <c r="H615" s="1">
        <f>SUM(H613:H614)</f>
        <v>4079984</v>
      </c>
      <c r="I615" s="117">
        <f>SUM(I613:I614)</f>
        <v>84.0414094227564</v>
      </c>
      <c r="J615" s="1">
        <f>SUM(J613:J614)</f>
        <v>4475914</v>
      </c>
      <c r="K615" s="30"/>
      <c r="L615" s="117">
        <f>SUM(L613:L614)</f>
        <v>87.38</v>
      </c>
      <c r="M615" s="1">
        <f>SUM(M613:M614)</f>
        <v>4922480</v>
      </c>
    </row>
    <row r="616" spans="1:13" ht="12">
      <c r="A616" s="11">
        <v>10</v>
      </c>
      <c r="E616" s="11">
        <v>10</v>
      </c>
      <c r="F616" s="13"/>
      <c r="G616" s="67"/>
      <c r="H616" s="1"/>
      <c r="I616" s="117"/>
      <c r="J616" s="1"/>
      <c r="K616" s="30"/>
      <c r="L616" s="117"/>
      <c r="M616" s="1"/>
    </row>
    <row r="617" spans="1:13" ht="12">
      <c r="A617" s="11">
        <v>11</v>
      </c>
      <c r="C617" s="12" t="s">
        <v>28</v>
      </c>
      <c r="E617" s="11">
        <v>11</v>
      </c>
      <c r="G617" s="64">
        <f>SUM(G610,G615)</f>
        <v>184.24</v>
      </c>
      <c r="H617" s="100">
        <f>SUM(H615,H610)</f>
        <v>13223027</v>
      </c>
      <c r="I617" s="118">
        <f>SUM(I610,I615)</f>
        <v>186.44564480506523</v>
      </c>
      <c r="J617" s="100">
        <f>SUM(J615,J610)</f>
        <v>14755523</v>
      </c>
      <c r="K617" s="30"/>
      <c r="L617" s="118">
        <f>SUM(L610,L615)</f>
        <v>192.25</v>
      </c>
      <c r="M617" s="100">
        <f>SUM(M615,M610)</f>
        <v>15974319</v>
      </c>
    </row>
    <row r="618" spans="1:13" ht="12">
      <c r="A618" s="11">
        <v>12</v>
      </c>
      <c r="E618" s="11">
        <v>12</v>
      </c>
      <c r="G618" s="64"/>
      <c r="H618" s="100"/>
      <c r="I618" s="118"/>
      <c r="J618" s="100"/>
      <c r="K618" s="30"/>
      <c r="L618" s="118"/>
      <c r="M618" s="100"/>
    </row>
    <row r="619" spans="1:13" ht="12">
      <c r="A619" s="11">
        <v>13</v>
      </c>
      <c r="C619" s="12" t="s">
        <v>38</v>
      </c>
      <c r="E619" s="11">
        <v>13</v>
      </c>
      <c r="F619" s="13"/>
      <c r="G619" s="67"/>
      <c r="H619" s="1">
        <v>399558</v>
      </c>
      <c r="I619" s="117"/>
      <c r="J619" s="1">
        <f>460579+3147+34041+100</f>
        <v>497867</v>
      </c>
      <c r="K619" s="110"/>
      <c r="L619" s="117"/>
      <c r="M619" s="1">
        <f>440020+1359+34669</f>
        <v>476048</v>
      </c>
    </row>
    <row r="620" spans="1:13" ht="12">
      <c r="A620" s="11">
        <v>14</v>
      </c>
      <c r="E620" s="11">
        <v>14</v>
      </c>
      <c r="F620" s="13"/>
      <c r="G620" s="67"/>
      <c r="H620" s="1"/>
      <c r="I620" s="117"/>
      <c r="J620" s="1"/>
      <c r="K620" s="110"/>
      <c r="L620" s="117"/>
      <c r="M620" s="1"/>
    </row>
    <row r="621" spans="1:13" ht="12">
      <c r="A621" s="11">
        <v>15</v>
      </c>
      <c r="C621" s="12" t="s">
        <v>30</v>
      </c>
      <c r="E621" s="11">
        <v>15</v>
      </c>
      <c r="F621" s="13"/>
      <c r="G621" s="67"/>
      <c r="H621" s="1">
        <v>256679</v>
      </c>
      <c r="I621" s="117"/>
      <c r="J621" s="1">
        <f>361284-4</f>
        <v>361280</v>
      </c>
      <c r="K621" s="110"/>
      <c r="L621" s="117"/>
      <c r="M621" s="1">
        <v>59542</v>
      </c>
    </row>
    <row r="622" spans="1:13" ht="12">
      <c r="A622" s="11">
        <v>16</v>
      </c>
      <c r="C622" s="12" t="s">
        <v>31</v>
      </c>
      <c r="E622" s="11">
        <v>16</v>
      </c>
      <c r="F622" s="13"/>
      <c r="G622" s="67"/>
      <c r="H622" s="1">
        <v>3156026</v>
      </c>
      <c r="I622" s="117"/>
      <c r="J622" s="1">
        <f>4358502+13389+95897+568311-523005+572815-13389-190515-1240137</f>
        <v>3641868</v>
      </c>
      <c r="K622" s="110"/>
      <c r="L622" s="117"/>
      <c r="M622" s="1">
        <f>9918627+80000+85416-80000-84800-6000000+151910-300000</f>
        <v>3771153</v>
      </c>
    </row>
    <row r="623" spans="1:13" ht="12">
      <c r="A623" s="11"/>
      <c r="C623" s="12"/>
      <c r="E623" s="11"/>
      <c r="F623" s="13"/>
      <c r="G623" s="67"/>
      <c r="H623" s="1"/>
      <c r="I623" s="117"/>
      <c r="J623" s="1"/>
      <c r="K623" s="110"/>
      <c r="L623" s="117"/>
      <c r="M623" s="1"/>
    </row>
    <row r="624" spans="1:13" ht="12">
      <c r="A624" s="11">
        <v>17</v>
      </c>
      <c r="C624" s="12" t="s">
        <v>32</v>
      </c>
      <c r="E624" s="11">
        <v>17</v>
      </c>
      <c r="F624" s="13"/>
      <c r="G624" s="67"/>
      <c r="H624" s="1"/>
      <c r="I624" s="117"/>
      <c r="J624" s="1">
        <f>51461-51461</f>
        <v>0</v>
      </c>
      <c r="K624" s="110"/>
      <c r="L624" s="117"/>
      <c r="M624" s="1">
        <f>20860-20860</f>
        <v>0</v>
      </c>
    </row>
    <row r="625" spans="1:13" ht="12">
      <c r="A625" s="11">
        <v>18</v>
      </c>
      <c r="C625" s="12" t="s">
        <v>40</v>
      </c>
      <c r="E625" s="11">
        <v>18</v>
      </c>
      <c r="F625" s="13"/>
      <c r="G625" s="67"/>
      <c r="H625" s="1">
        <v>1291113</v>
      </c>
      <c r="I625" s="117"/>
      <c r="J625" s="1">
        <f>2763456-1873463-494696</f>
        <v>395297</v>
      </c>
      <c r="K625" s="110"/>
      <c r="L625" s="117"/>
      <c r="M625" s="1">
        <f>2701849-1500000-494696-300000</f>
        <v>407153</v>
      </c>
    </row>
    <row r="626" spans="1:13" ht="12">
      <c r="A626" s="11">
        <v>19</v>
      </c>
      <c r="C626" s="12" t="s">
        <v>42</v>
      </c>
      <c r="E626" s="11">
        <v>19</v>
      </c>
      <c r="F626" s="13"/>
      <c r="G626" s="67"/>
      <c r="H626" s="1">
        <v>472834</v>
      </c>
      <c r="I626" s="117"/>
      <c r="J626" s="1">
        <v>494696</v>
      </c>
      <c r="K626" s="110"/>
      <c r="L626" s="117"/>
      <c r="M626" s="1">
        <v>494696</v>
      </c>
    </row>
    <row r="627" spans="1:13" ht="12">
      <c r="A627" s="11">
        <v>20</v>
      </c>
      <c r="C627" s="12" t="s">
        <v>104</v>
      </c>
      <c r="E627" s="11">
        <v>20</v>
      </c>
      <c r="F627" s="13"/>
      <c r="G627" s="67"/>
      <c r="H627" s="1">
        <v>-3924045</v>
      </c>
      <c r="I627" s="117"/>
      <c r="J627" s="1">
        <v>-4167139</v>
      </c>
      <c r="K627" s="110"/>
      <c r="L627" s="117"/>
      <c r="M627" s="1">
        <v>-4419968</v>
      </c>
    </row>
    <row r="628" spans="1:13" ht="12">
      <c r="A628" s="11">
        <v>21</v>
      </c>
      <c r="C628" s="12"/>
      <c r="E628" s="11">
        <v>21</v>
      </c>
      <c r="F628" s="13"/>
      <c r="G628" s="67"/>
      <c r="H628" s="1"/>
      <c r="I628" s="117"/>
      <c r="J628" s="1"/>
      <c r="K628" s="110"/>
      <c r="L628" s="117"/>
      <c r="M628" s="1"/>
    </row>
    <row r="629" spans="1:13" ht="12">
      <c r="A629" s="11">
        <v>22</v>
      </c>
      <c r="C629" s="12"/>
      <c r="E629" s="11">
        <v>22</v>
      </c>
      <c r="F629" s="13"/>
      <c r="G629" s="67"/>
      <c r="H629" s="1"/>
      <c r="I629" s="117"/>
      <c r="J629" s="1"/>
      <c r="K629" s="110"/>
      <c r="L629" s="117"/>
      <c r="M629" s="1"/>
    </row>
    <row r="630" spans="1:13" ht="12">
      <c r="A630" s="11">
        <v>23</v>
      </c>
      <c r="C630" s="12"/>
      <c r="E630" s="11">
        <v>23</v>
      </c>
      <c r="F630" s="13"/>
      <c r="G630" s="67"/>
      <c r="H630" s="1"/>
      <c r="I630" s="117"/>
      <c r="J630" s="1"/>
      <c r="K630" s="110"/>
      <c r="L630" s="117"/>
      <c r="M630" s="1"/>
    </row>
    <row r="631" spans="1:13" ht="12">
      <c r="A631" s="11">
        <v>24</v>
      </c>
      <c r="C631" s="12"/>
      <c r="E631" s="11">
        <v>24</v>
      </c>
      <c r="F631" s="13"/>
      <c r="G631" s="67"/>
      <c r="H631" s="1"/>
      <c r="I631" s="117"/>
      <c r="J631" s="1"/>
      <c r="K631" s="110"/>
      <c r="L631" s="117"/>
      <c r="M631" s="1"/>
    </row>
    <row r="632" spans="5:13" ht="12">
      <c r="E632" s="50"/>
      <c r="F632" s="90" t="s">
        <v>1</v>
      </c>
      <c r="G632" s="89"/>
      <c r="H632" s="90"/>
      <c r="I632" s="116" t="s">
        <v>1</v>
      </c>
      <c r="J632" s="23" t="s">
        <v>1</v>
      </c>
      <c r="K632" s="90" t="s">
        <v>1</v>
      </c>
      <c r="L632" s="116" t="s">
        <v>1</v>
      </c>
      <c r="M632" s="23" t="s">
        <v>1</v>
      </c>
    </row>
    <row r="633" spans="1:13" ht="15.75" customHeight="1">
      <c r="A633" s="11">
        <v>25</v>
      </c>
      <c r="C633" s="12" t="s">
        <v>237</v>
      </c>
      <c r="E633" s="11">
        <v>25</v>
      </c>
      <c r="G633" s="84">
        <f>SUM(G617:G630)</f>
        <v>184.24</v>
      </c>
      <c r="H633" s="100">
        <f>SUM(H617:H630)</f>
        <v>14875192</v>
      </c>
      <c r="I633" s="111">
        <f>SUM(I617:I630)</f>
        <v>186.44564480506523</v>
      </c>
      <c r="J633" s="100">
        <f>SUM(J617:J630)</f>
        <v>15979392</v>
      </c>
      <c r="K633" s="25"/>
      <c r="L633" s="111">
        <f>SUM(L617:L630)</f>
        <v>192.25</v>
      </c>
      <c r="M633" s="100">
        <f>SUM(M617:M630)</f>
        <v>16762943</v>
      </c>
    </row>
    <row r="634" spans="5:13" ht="12">
      <c r="E634" s="50"/>
      <c r="F634" s="90" t="s">
        <v>1</v>
      </c>
      <c r="G634" s="90"/>
      <c r="H634" s="90"/>
      <c r="I634" s="22"/>
      <c r="J634" s="23"/>
      <c r="K634" s="90"/>
      <c r="L634" s="22"/>
      <c r="M634" s="23"/>
    </row>
    <row r="635" ht="12">
      <c r="A635" s="12"/>
    </row>
    <row r="637" spans="1:13" s="46" customFormat="1" ht="12">
      <c r="A637" s="19" t="str">
        <f>$A$36</f>
        <v>Institution No.:  GFD</v>
      </c>
      <c r="E637" s="51"/>
      <c r="I637" s="52"/>
      <c r="J637" s="53"/>
      <c r="L637" s="52"/>
      <c r="M637" s="18" t="s">
        <v>41</v>
      </c>
    </row>
    <row r="638" spans="1:13" s="46" customFormat="1" ht="12">
      <c r="A638" s="274" t="s">
        <v>152</v>
      </c>
      <c r="B638" s="274"/>
      <c r="C638" s="274"/>
      <c r="D638" s="274"/>
      <c r="E638" s="274"/>
      <c r="F638" s="274"/>
      <c r="G638" s="274"/>
      <c r="H638" s="274"/>
      <c r="I638" s="274"/>
      <c r="J638" s="274"/>
      <c r="K638" s="274"/>
      <c r="L638" s="274"/>
      <c r="M638" s="274"/>
    </row>
    <row r="639" spans="1:13" ht="12">
      <c r="A639" s="19" t="s">
        <v>664</v>
      </c>
      <c r="C639" s="7" t="s">
        <v>665</v>
      </c>
      <c r="I639" s="103"/>
      <c r="J639" s="86"/>
      <c r="L639" s="17"/>
      <c r="M639" s="20" t="str">
        <f>$M$3</f>
        <v>Date: 10/1/2008</v>
      </c>
    </row>
    <row r="640" spans="1:13" ht="12">
      <c r="A640" s="21" t="s">
        <v>1</v>
      </c>
      <c r="B640" s="21" t="s">
        <v>1</v>
      </c>
      <c r="C640" s="21" t="s">
        <v>1</v>
      </c>
      <c r="D640" s="21" t="s">
        <v>1</v>
      </c>
      <c r="E640" s="21" t="s">
        <v>1</v>
      </c>
      <c r="F640" s="21" t="s">
        <v>1</v>
      </c>
      <c r="G640" s="21"/>
      <c r="H640" s="21"/>
      <c r="I640" s="22" t="s">
        <v>1</v>
      </c>
      <c r="J640" s="23" t="s">
        <v>1</v>
      </c>
      <c r="K640" s="21" t="s">
        <v>1</v>
      </c>
      <c r="L640" s="22" t="s">
        <v>1</v>
      </c>
      <c r="M640" s="23" t="s">
        <v>1</v>
      </c>
    </row>
    <row r="641" spans="1:13" ht="12">
      <c r="A641" s="24" t="s">
        <v>2</v>
      </c>
      <c r="E641" s="24" t="s">
        <v>2</v>
      </c>
      <c r="F641" s="25"/>
      <c r="G641" s="26"/>
      <c r="H641" s="25" t="s">
        <v>249</v>
      </c>
      <c r="I641" s="26"/>
      <c r="J641" s="27" t="s">
        <v>251</v>
      </c>
      <c r="K641" s="25"/>
      <c r="L641" s="26"/>
      <c r="M641" s="27" t="s">
        <v>260</v>
      </c>
    </row>
    <row r="642" spans="1:13" ht="12">
      <c r="A642" s="24" t="s">
        <v>4</v>
      </c>
      <c r="C642" s="28" t="s">
        <v>20</v>
      </c>
      <c r="E642" s="24" t="s">
        <v>4</v>
      </c>
      <c r="F642" s="25"/>
      <c r="G642" s="26" t="s">
        <v>6</v>
      </c>
      <c r="H642" s="27" t="s">
        <v>7</v>
      </c>
      <c r="I642" s="26" t="s">
        <v>6</v>
      </c>
      <c r="J642" s="27" t="s">
        <v>7</v>
      </c>
      <c r="K642" s="25"/>
      <c r="L642" s="26" t="s">
        <v>6</v>
      </c>
      <c r="M642" s="27" t="s">
        <v>8</v>
      </c>
    </row>
    <row r="643" spans="1:13" ht="12">
      <c r="A643" s="21" t="s">
        <v>1</v>
      </c>
      <c r="B643" s="21" t="s">
        <v>1</v>
      </c>
      <c r="C643" s="21" t="s">
        <v>1</v>
      </c>
      <c r="D643" s="21" t="s">
        <v>1</v>
      </c>
      <c r="E643" s="21" t="s">
        <v>1</v>
      </c>
      <c r="F643" s="21" t="s">
        <v>1</v>
      </c>
      <c r="G643" s="21"/>
      <c r="H643" s="21"/>
      <c r="I643" s="22" t="s">
        <v>1</v>
      </c>
      <c r="J643" s="23" t="s">
        <v>1</v>
      </c>
      <c r="K643" s="21" t="s">
        <v>1</v>
      </c>
      <c r="L643" s="22" t="s">
        <v>1</v>
      </c>
      <c r="M643" s="23" t="s">
        <v>1</v>
      </c>
    </row>
    <row r="644" spans="1:13" ht="12">
      <c r="A644" s="11">
        <v>1</v>
      </c>
      <c r="C644" s="12" t="s">
        <v>36</v>
      </c>
      <c r="E644" s="11">
        <v>1</v>
      </c>
      <c r="F644" s="13"/>
      <c r="G644" s="67">
        <v>27.21</v>
      </c>
      <c r="H644" s="2">
        <v>1608859</v>
      </c>
      <c r="I644" s="67">
        <f>J644/67365</f>
        <v>29.038848066503377</v>
      </c>
      <c r="J644" s="2">
        <f>4554+19005+8477+1597386+326780</f>
        <v>1956202</v>
      </c>
      <c r="K644" s="110"/>
      <c r="L644" s="67">
        <f>26.77+7.8</f>
        <v>34.57</v>
      </c>
      <c r="M644" s="1">
        <f>7564+2128633+415435</f>
        <v>2551632</v>
      </c>
    </row>
    <row r="645" spans="1:13" ht="12">
      <c r="A645" s="11">
        <v>2</v>
      </c>
      <c r="C645" s="12" t="s">
        <v>37</v>
      </c>
      <c r="E645" s="11">
        <v>2</v>
      </c>
      <c r="F645" s="13"/>
      <c r="G645" s="67"/>
      <c r="H645" s="2">
        <v>367956</v>
      </c>
      <c r="I645" s="67"/>
      <c r="J645" s="2">
        <f>168+1402+54+386814+78021</f>
        <v>466459</v>
      </c>
      <c r="K645" s="110"/>
      <c r="L645" s="67"/>
      <c r="M645" s="2">
        <f>527824+114073</f>
        <v>641897</v>
      </c>
    </row>
    <row r="646" spans="1:13" ht="12">
      <c r="A646" s="11">
        <v>3</v>
      </c>
      <c r="E646" s="11">
        <v>3</v>
      </c>
      <c r="F646" s="13"/>
      <c r="G646" s="67"/>
      <c r="H646" s="2"/>
      <c r="I646" s="67"/>
      <c r="J646" s="2"/>
      <c r="K646" s="110"/>
      <c r="L646" s="67"/>
      <c r="M646" s="2"/>
    </row>
    <row r="647" spans="1:13" ht="12">
      <c r="A647" s="11">
        <v>4</v>
      </c>
      <c r="C647" s="12" t="s">
        <v>23</v>
      </c>
      <c r="E647" s="11">
        <v>4</v>
      </c>
      <c r="F647" s="13"/>
      <c r="G647" s="67">
        <f>SUM(G644:G646)</f>
        <v>27.21</v>
      </c>
      <c r="H647" s="2">
        <f>SUM(H644:H646)</f>
        <v>1976815</v>
      </c>
      <c r="I647" s="67">
        <f>SUM(I644:I646)</f>
        <v>29.038848066503377</v>
      </c>
      <c r="J647" s="2">
        <f>SUM(J644:J646)</f>
        <v>2422661</v>
      </c>
      <c r="K647" s="30"/>
      <c r="L647" s="67">
        <f>SUM(L644:L646)</f>
        <v>34.57</v>
      </c>
      <c r="M647" s="2">
        <f>SUM(M644:M646)</f>
        <v>3193529</v>
      </c>
    </row>
    <row r="648" spans="1:13" ht="12">
      <c r="A648" s="11">
        <v>5</v>
      </c>
      <c r="E648" s="11">
        <v>5</v>
      </c>
      <c r="F648" s="13"/>
      <c r="G648" s="67"/>
      <c r="H648" s="2"/>
      <c r="I648" s="67"/>
      <c r="J648" s="2"/>
      <c r="K648" s="30"/>
      <c r="L648" s="67"/>
      <c r="M648" s="2"/>
    </row>
    <row r="649" spans="1:13" ht="12">
      <c r="A649" s="11">
        <v>6</v>
      </c>
      <c r="E649" s="11">
        <v>6</v>
      </c>
      <c r="F649" s="13"/>
      <c r="G649" s="67"/>
      <c r="H649" s="2"/>
      <c r="I649" s="67"/>
      <c r="J649" s="2"/>
      <c r="K649" s="30"/>
      <c r="L649" s="67"/>
      <c r="M649" s="2"/>
    </row>
    <row r="650" spans="1:13" ht="12">
      <c r="A650" s="11">
        <v>7</v>
      </c>
      <c r="C650" s="12" t="s">
        <v>25</v>
      </c>
      <c r="E650" s="11">
        <v>7</v>
      </c>
      <c r="F650" s="13"/>
      <c r="G650" s="67">
        <v>26.7</v>
      </c>
      <c r="H650" s="2">
        <v>1434915</v>
      </c>
      <c r="I650" s="67">
        <f>J650/50451</f>
        <v>40.75948940556183</v>
      </c>
      <c r="J650" s="2">
        <f>1398144+658213</f>
        <v>2056357</v>
      </c>
      <c r="K650" s="110"/>
      <c r="L650" s="67">
        <f>31.7+10.92</f>
        <v>42.62</v>
      </c>
      <c r="M650" s="1">
        <f>1614994+589625</f>
        <v>2204619</v>
      </c>
    </row>
    <row r="651" spans="1:13" ht="12">
      <c r="A651" s="11">
        <v>8</v>
      </c>
      <c r="C651" s="12" t="s">
        <v>26</v>
      </c>
      <c r="E651" s="11">
        <v>8</v>
      </c>
      <c r="F651" s="13"/>
      <c r="G651" s="67"/>
      <c r="H651" s="2">
        <v>323930</v>
      </c>
      <c r="I651" s="67"/>
      <c r="J651" s="2">
        <f>346585+145626</f>
        <v>492211</v>
      </c>
      <c r="K651" s="110"/>
      <c r="L651" s="67"/>
      <c r="M651" s="2">
        <f>416044+144205</f>
        <v>560249</v>
      </c>
    </row>
    <row r="652" spans="1:13" ht="12">
      <c r="A652" s="11">
        <v>9</v>
      </c>
      <c r="C652" s="12" t="s">
        <v>27</v>
      </c>
      <c r="E652" s="11">
        <v>9</v>
      </c>
      <c r="F652" s="13"/>
      <c r="G652" s="67">
        <f>SUM(G650:G651)</f>
        <v>26.7</v>
      </c>
      <c r="H652" s="2">
        <f>SUM(H650:H651)</f>
        <v>1758845</v>
      </c>
      <c r="I652" s="67">
        <f>SUM(I650:I651)</f>
        <v>40.75948940556183</v>
      </c>
      <c r="J652" s="2">
        <f>SUM(J650:J651)</f>
        <v>2548568</v>
      </c>
      <c r="K652" s="30"/>
      <c r="L652" s="67">
        <f>SUM(L650:L651)</f>
        <v>42.62</v>
      </c>
      <c r="M652" s="2">
        <f>SUM(M650:M651)</f>
        <v>2764868</v>
      </c>
    </row>
    <row r="653" spans="1:13" ht="12">
      <c r="A653" s="11">
        <v>10</v>
      </c>
      <c r="E653" s="11">
        <v>10</v>
      </c>
      <c r="F653" s="13"/>
      <c r="G653" s="67"/>
      <c r="H653" s="2"/>
      <c r="I653" s="67"/>
      <c r="J653" s="2"/>
      <c r="K653" s="30"/>
      <c r="L653" s="67"/>
      <c r="M653" s="2"/>
    </row>
    <row r="654" spans="1:13" ht="12">
      <c r="A654" s="11">
        <v>11</v>
      </c>
      <c r="C654" s="12" t="s">
        <v>28</v>
      </c>
      <c r="E654" s="11">
        <v>11</v>
      </c>
      <c r="G654" s="64">
        <f>SUM(G652,G647)</f>
        <v>53.91</v>
      </c>
      <c r="H654" s="65">
        <f>SUM(H647,H652)</f>
        <v>3735660</v>
      </c>
      <c r="I654" s="64">
        <f>SUM(I652,I647)</f>
        <v>69.79833747206521</v>
      </c>
      <c r="J654" s="65">
        <f>SUM(J652,J647)</f>
        <v>4971229</v>
      </c>
      <c r="K654" s="30"/>
      <c r="L654" s="64">
        <f>SUM(L652,L647)</f>
        <v>77.19</v>
      </c>
      <c r="M654" s="65">
        <f>SUM(M652,M647)</f>
        <v>5958397</v>
      </c>
    </row>
    <row r="655" spans="1:13" ht="12">
      <c r="A655" s="11">
        <v>12</v>
      </c>
      <c r="E655" s="11">
        <v>12</v>
      </c>
      <c r="G655" s="64"/>
      <c r="H655" s="65"/>
      <c r="I655" s="64"/>
      <c r="J655" s="65"/>
      <c r="K655" s="30"/>
      <c r="L655" s="64"/>
      <c r="M655" s="65"/>
    </row>
    <row r="656" spans="1:13" ht="12">
      <c r="A656" s="11">
        <v>13</v>
      </c>
      <c r="C656" s="12" t="s">
        <v>38</v>
      </c>
      <c r="E656" s="11">
        <v>13</v>
      </c>
      <c r="F656" s="13"/>
      <c r="G656" s="67"/>
      <c r="H656" s="2">
        <v>173874</v>
      </c>
      <c r="I656" s="67"/>
      <c r="J656" s="2">
        <f>167180+1920+8985+759</f>
        <v>178844</v>
      </c>
      <c r="K656" s="110"/>
      <c r="L656" s="67"/>
      <c r="M656" s="2">
        <f>116935+911+5507+233</f>
        <v>123586</v>
      </c>
    </row>
    <row r="657" spans="1:13" ht="12">
      <c r="A657" s="11">
        <v>14</v>
      </c>
      <c r="E657" s="11">
        <v>14</v>
      </c>
      <c r="F657" s="13"/>
      <c r="G657" s="67"/>
      <c r="H657" s="2"/>
      <c r="I657" s="67"/>
      <c r="J657" s="2"/>
      <c r="K657" s="110"/>
      <c r="L657" s="67"/>
      <c r="M657" s="2"/>
    </row>
    <row r="658" spans="1:13" ht="12">
      <c r="A658" s="11">
        <v>15</v>
      </c>
      <c r="C658" s="12" t="s">
        <v>30</v>
      </c>
      <c r="E658" s="11">
        <v>15</v>
      </c>
      <c r="F658" s="13"/>
      <c r="G658" s="67"/>
      <c r="H658" s="2">
        <v>52936</v>
      </c>
      <c r="I658" s="67"/>
      <c r="J658" s="2">
        <f>78953+1360-105</f>
        <v>80208</v>
      </c>
      <c r="K658" s="110"/>
      <c r="L658" s="67"/>
      <c r="M658" s="2">
        <f>57948</f>
        <v>57948</v>
      </c>
    </row>
    <row r="659" spans="1:13" ht="12">
      <c r="A659" s="11">
        <v>16</v>
      </c>
      <c r="C659" s="12" t="s">
        <v>31</v>
      </c>
      <c r="E659" s="11">
        <v>16</v>
      </c>
      <c r="F659" s="13"/>
      <c r="G659" s="67"/>
      <c r="H659" s="2">
        <v>724653</v>
      </c>
      <c r="I659" s="67"/>
      <c r="J659" s="2">
        <f>712433+24+105-359513+76069</f>
        <v>429118</v>
      </c>
      <c r="K659" s="110"/>
      <c r="L659" s="67"/>
      <c r="M659" s="2">
        <f>862743+132097-400000</f>
        <v>594840</v>
      </c>
    </row>
    <row r="660" spans="1:13" ht="12">
      <c r="A660" s="11"/>
      <c r="C660" s="12"/>
      <c r="E660" s="11"/>
      <c r="F660" s="13"/>
      <c r="G660" s="67"/>
      <c r="H660" s="2"/>
      <c r="I660" s="67"/>
      <c r="J660" s="2"/>
      <c r="K660" s="110"/>
      <c r="L660" s="67"/>
      <c r="M660" s="2"/>
    </row>
    <row r="661" spans="1:13" ht="12">
      <c r="A661" s="11">
        <v>17</v>
      </c>
      <c r="C661" s="12" t="s">
        <v>32</v>
      </c>
      <c r="E661" s="11">
        <v>17</v>
      </c>
      <c r="F661" s="13"/>
      <c r="G661" s="67"/>
      <c r="H661" s="2"/>
      <c r="I661" s="67"/>
      <c r="J661" s="2"/>
      <c r="K661" s="110"/>
      <c r="L661" s="67"/>
      <c r="M661" s="2"/>
    </row>
    <row r="662" spans="1:13" ht="12">
      <c r="A662" s="11">
        <v>18</v>
      </c>
      <c r="E662" s="11">
        <v>18</v>
      </c>
      <c r="F662" s="13"/>
      <c r="G662" s="67"/>
      <c r="H662" s="2"/>
      <c r="I662" s="67"/>
      <c r="J662" s="2"/>
      <c r="K662" s="110"/>
      <c r="L662" s="67"/>
      <c r="M662" s="2"/>
    </row>
    <row r="663" spans="1:13" ht="12">
      <c r="A663" s="11">
        <v>19</v>
      </c>
      <c r="C663" s="12" t="s">
        <v>42</v>
      </c>
      <c r="E663" s="11">
        <v>19</v>
      </c>
      <c r="F663" s="13"/>
      <c r="G663" s="67"/>
      <c r="H663" s="2">
        <v>0</v>
      </c>
      <c r="I663" s="67"/>
      <c r="J663" s="2">
        <v>0</v>
      </c>
      <c r="K663" s="110"/>
      <c r="L663" s="67"/>
      <c r="M663" s="2">
        <v>0</v>
      </c>
    </row>
    <row r="664" spans="1:13" ht="12">
      <c r="A664" s="11">
        <v>20</v>
      </c>
      <c r="C664" s="12"/>
      <c r="E664" s="11">
        <v>20</v>
      </c>
      <c r="F664" s="13"/>
      <c r="G664" s="67"/>
      <c r="H664" s="2"/>
      <c r="I664" s="67"/>
      <c r="J664" s="2"/>
      <c r="K664" s="110"/>
      <c r="L664" s="67"/>
      <c r="M664" s="2"/>
    </row>
    <row r="665" spans="1:13" ht="12">
      <c r="A665" s="11">
        <v>21</v>
      </c>
      <c r="C665" s="12"/>
      <c r="E665" s="11">
        <v>21</v>
      </c>
      <c r="F665" s="13"/>
      <c r="G665" s="67"/>
      <c r="H665" s="2"/>
      <c r="I665" s="67"/>
      <c r="J665" s="2"/>
      <c r="K665" s="110"/>
      <c r="L665" s="67"/>
      <c r="M665" s="2"/>
    </row>
    <row r="666" spans="1:13" ht="12">
      <c r="A666" s="11">
        <v>22</v>
      </c>
      <c r="C666" s="12"/>
      <c r="E666" s="11">
        <v>22</v>
      </c>
      <c r="F666" s="13"/>
      <c r="G666" s="67"/>
      <c r="H666" s="2"/>
      <c r="I666" s="67"/>
      <c r="J666" s="2"/>
      <c r="K666" s="110"/>
      <c r="L666" s="67"/>
      <c r="M666" s="2"/>
    </row>
    <row r="667" spans="1:13" ht="12">
      <c r="A667" s="11">
        <v>23</v>
      </c>
      <c r="C667" s="12"/>
      <c r="E667" s="11">
        <v>23</v>
      </c>
      <c r="F667" s="13"/>
      <c r="G667" s="67"/>
      <c r="H667" s="2"/>
      <c r="I667" s="67"/>
      <c r="J667" s="2"/>
      <c r="K667" s="110"/>
      <c r="L667" s="67"/>
      <c r="M667" s="2"/>
    </row>
    <row r="668" spans="1:13" ht="12">
      <c r="A668" s="11">
        <v>24</v>
      </c>
      <c r="C668" s="12"/>
      <c r="E668" s="11">
        <v>24</v>
      </c>
      <c r="F668" s="13"/>
      <c r="G668" s="67"/>
      <c r="H668" s="2"/>
      <c r="I668" s="67"/>
      <c r="J668" s="2"/>
      <c r="K668" s="110"/>
      <c r="L668" s="67"/>
      <c r="M668" s="2"/>
    </row>
    <row r="669" spans="5:13" ht="12">
      <c r="E669" s="50"/>
      <c r="F669" s="90" t="s">
        <v>1</v>
      </c>
      <c r="G669" s="89"/>
      <c r="H669" s="90"/>
      <c r="I669" s="23" t="s">
        <v>1</v>
      </c>
      <c r="J669" s="23" t="s">
        <v>1</v>
      </c>
      <c r="K669" s="90" t="s">
        <v>1</v>
      </c>
      <c r="L669" s="90" t="s">
        <v>1</v>
      </c>
      <c r="M669" s="23" t="s">
        <v>1</v>
      </c>
    </row>
    <row r="670" spans="1:13" ht="15.75" customHeight="1">
      <c r="A670" s="11">
        <v>25</v>
      </c>
      <c r="C670" s="12" t="s">
        <v>238</v>
      </c>
      <c r="E670" s="11">
        <v>25</v>
      </c>
      <c r="G670" s="64">
        <f>SUM(G654:G668)</f>
        <v>53.91</v>
      </c>
      <c r="H670" s="100">
        <f>SUM(H654:H668)</f>
        <v>4687123</v>
      </c>
      <c r="I670" s="64">
        <f>SUM(I654:I668)</f>
        <v>69.79833747206521</v>
      </c>
      <c r="J670" s="100">
        <f>SUM(J654:J668)</f>
        <v>5659399</v>
      </c>
      <c r="K670" s="25"/>
      <c r="L670" s="64">
        <f>SUM(L654:L668)</f>
        <v>77.19</v>
      </c>
      <c r="M670" s="100">
        <f>SUM(M654:M668)</f>
        <v>6734771</v>
      </c>
    </row>
    <row r="671" spans="5:13" ht="12">
      <c r="E671" s="50"/>
      <c r="F671" s="90" t="s">
        <v>1</v>
      </c>
      <c r="G671" s="90"/>
      <c r="H671" s="90"/>
      <c r="I671" s="22" t="s">
        <v>1</v>
      </c>
      <c r="J671" s="23" t="s">
        <v>1</v>
      </c>
      <c r="K671" s="90" t="s">
        <v>1</v>
      </c>
      <c r="L671" s="22" t="s">
        <v>1</v>
      </c>
      <c r="M671" s="23" t="s">
        <v>1</v>
      </c>
    </row>
    <row r="673" ht="12">
      <c r="A673" s="12"/>
    </row>
    <row r="674" spans="1:13" s="46" customFormat="1" ht="12">
      <c r="A674" s="19" t="str">
        <f>$A$36</f>
        <v>Institution No.:  GFD</v>
      </c>
      <c r="E674" s="51"/>
      <c r="I674" s="52"/>
      <c r="J674" s="53"/>
      <c r="L674" s="52"/>
      <c r="M674" s="18" t="s">
        <v>43</v>
      </c>
    </row>
    <row r="675" spans="1:13" s="46" customFormat="1" ht="12">
      <c r="A675" s="274" t="s">
        <v>153</v>
      </c>
      <c r="B675" s="274"/>
      <c r="C675" s="274"/>
      <c r="D675" s="274"/>
      <c r="E675" s="274"/>
      <c r="F675" s="274"/>
      <c r="G675" s="274"/>
      <c r="H675" s="274"/>
      <c r="I675" s="274"/>
      <c r="J675" s="274"/>
      <c r="K675" s="274"/>
      <c r="L675" s="274"/>
      <c r="M675" s="274"/>
    </row>
    <row r="676" spans="1:13" ht="12">
      <c r="A676" s="19" t="s">
        <v>664</v>
      </c>
      <c r="C676" s="7" t="s">
        <v>665</v>
      </c>
      <c r="F676" s="92"/>
      <c r="G676" s="92"/>
      <c r="H676" s="92"/>
      <c r="I676" s="85"/>
      <c r="J676" s="55"/>
      <c r="L676" s="17"/>
      <c r="M676" s="20" t="str">
        <f>$M$3</f>
        <v>Date: 10/1/2008</v>
      </c>
    </row>
    <row r="677" spans="1:13" ht="12">
      <c r="A677" s="21" t="s">
        <v>1</v>
      </c>
      <c r="B677" s="21" t="s">
        <v>1</v>
      </c>
      <c r="C677" s="21" t="s">
        <v>1</v>
      </c>
      <c r="D677" s="21" t="s">
        <v>1</v>
      </c>
      <c r="E677" s="21" t="s">
        <v>1</v>
      </c>
      <c r="F677" s="21" t="s">
        <v>1</v>
      </c>
      <c r="G677" s="21"/>
      <c r="H677" s="21"/>
      <c r="I677" s="22" t="s">
        <v>1</v>
      </c>
      <c r="J677" s="23" t="s">
        <v>1</v>
      </c>
      <c r="K677" s="21" t="s">
        <v>1</v>
      </c>
      <c r="L677" s="22" t="s">
        <v>1</v>
      </c>
      <c r="M677" s="23" t="s">
        <v>1</v>
      </c>
    </row>
    <row r="678" spans="1:13" ht="12">
      <c r="A678" s="24" t="s">
        <v>2</v>
      </c>
      <c r="E678" s="24" t="s">
        <v>2</v>
      </c>
      <c r="F678" s="25"/>
      <c r="G678" s="26"/>
      <c r="H678" s="25" t="s">
        <v>249</v>
      </c>
      <c r="I678" s="26"/>
      <c r="J678" s="27" t="s">
        <v>251</v>
      </c>
      <c r="K678" s="25"/>
      <c r="L678" s="26"/>
      <c r="M678" s="27" t="s">
        <v>260</v>
      </c>
    </row>
    <row r="679" spans="1:13" ht="12">
      <c r="A679" s="24" t="s">
        <v>4</v>
      </c>
      <c r="C679" s="28" t="s">
        <v>20</v>
      </c>
      <c r="E679" s="24" t="s">
        <v>4</v>
      </c>
      <c r="F679" s="25"/>
      <c r="G679" s="26" t="s">
        <v>6</v>
      </c>
      <c r="H679" s="27" t="s">
        <v>7</v>
      </c>
      <c r="I679" s="26" t="s">
        <v>6</v>
      </c>
      <c r="J679" s="27" t="s">
        <v>7</v>
      </c>
      <c r="K679" s="25"/>
      <c r="L679" s="26" t="s">
        <v>6</v>
      </c>
      <c r="M679" s="27" t="s">
        <v>8</v>
      </c>
    </row>
    <row r="680" spans="1:13" ht="12">
      <c r="A680" s="21" t="s">
        <v>1</v>
      </c>
      <c r="B680" s="21" t="s">
        <v>1</v>
      </c>
      <c r="C680" s="21" t="s">
        <v>1</v>
      </c>
      <c r="D680" s="21" t="s">
        <v>1</v>
      </c>
      <c r="E680" s="21" t="s">
        <v>1</v>
      </c>
      <c r="F680" s="21" t="s">
        <v>1</v>
      </c>
      <c r="G680" s="21"/>
      <c r="H680" s="21"/>
      <c r="I680" s="22" t="s">
        <v>1</v>
      </c>
      <c r="J680" s="23" t="s">
        <v>1</v>
      </c>
      <c r="K680" s="21" t="s">
        <v>1</v>
      </c>
      <c r="L680" s="22" t="s">
        <v>1</v>
      </c>
      <c r="M680" s="23" t="s">
        <v>1</v>
      </c>
    </row>
    <row r="681" spans="1:13" ht="12">
      <c r="A681" s="11">
        <v>1</v>
      </c>
      <c r="C681" s="12" t="s">
        <v>36</v>
      </c>
      <c r="E681" s="11">
        <v>1</v>
      </c>
      <c r="F681" s="13"/>
      <c r="G681" s="104">
        <v>30.82</v>
      </c>
      <c r="H681" s="1">
        <v>2874150</v>
      </c>
      <c r="I681" s="104">
        <f>J681/97919</f>
        <v>40.66517223419357</v>
      </c>
      <c r="J681" s="1">
        <f>9467+770473+28326+210+2278872-17830-210-4483+19528+230+4910+892400</f>
        <v>3981893</v>
      </c>
      <c r="K681" s="110"/>
      <c r="L681" s="104">
        <f>M681/102815</f>
        <v>48.50674512473861</v>
      </c>
      <c r="M681" s="88">
        <f>252500+785235+22874+2627711+1298901</f>
        <v>4987221</v>
      </c>
    </row>
    <row r="682" spans="1:13" ht="12">
      <c r="A682" s="11">
        <v>2</v>
      </c>
      <c r="C682" s="12" t="s">
        <v>37</v>
      </c>
      <c r="E682" s="11">
        <v>2</v>
      </c>
      <c r="F682" s="13"/>
      <c r="G682" s="104"/>
      <c r="H682" s="1">
        <v>539103</v>
      </c>
      <c r="I682" s="104"/>
      <c r="J682" s="1">
        <f>2673+168935+6508+16+427960-4315-16-1067+4726+18+1169+161237</f>
        <v>767844</v>
      </c>
      <c r="K682" s="110"/>
      <c r="L682" s="104"/>
      <c r="M682" s="88">
        <f>53334+158156+6434+543191+301714</f>
        <v>1062829</v>
      </c>
    </row>
    <row r="683" spans="1:13" ht="12">
      <c r="A683" s="11">
        <v>3</v>
      </c>
      <c r="E683" s="11">
        <v>3</v>
      </c>
      <c r="F683" s="13"/>
      <c r="G683" s="104"/>
      <c r="H683" s="1"/>
      <c r="I683" s="104"/>
      <c r="J683" s="1"/>
      <c r="K683" s="110"/>
      <c r="L683" s="104"/>
      <c r="M683" s="1"/>
    </row>
    <row r="684" spans="1:13" ht="12">
      <c r="A684" s="11">
        <v>4</v>
      </c>
      <c r="C684" s="12" t="s">
        <v>23</v>
      </c>
      <c r="E684" s="11">
        <v>4</v>
      </c>
      <c r="F684" s="13"/>
      <c r="G684" s="104">
        <f>SUM(G681:G683)</f>
        <v>30.82</v>
      </c>
      <c r="H684" s="1">
        <f>SUM(H681:H683)</f>
        <v>3413253</v>
      </c>
      <c r="I684" s="104">
        <f>SUM(I681:I683)</f>
        <v>40.66517223419357</v>
      </c>
      <c r="J684" s="1">
        <f>SUM(J681:J683)</f>
        <v>4749737</v>
      </c>
      <c r="K684" s="30"/>
      <c r="L684" s="104">
        <f>SUM(L681:L683)</f>
        <v>48.50674512473861</v>
      </c>
      <c r="M684" s="1">
        <f>SUM(M681:M683)</f>
        <v>6050050</v>
      </c>
    </row>
    <row r="685" spans="1:13" ht="12">
      <c r="A685" s="11">
        <v>5</v>
      </c>
      <c r="E685" s="11">
        <v>5</v>
      </c>
      <c r="F685" s="13"/>
      <c r="G685" s="104"/>
      <c r="H685" s="1"/>
      <c r="I685" s="104"/>
      <c r="J685" s="1"/>
      <c r="K685" s="30"/>
      <c r="L685" s="104"/>
      <c r="M685" s="1"/>
    </row>
    <row r="686" spans="1:13" ht="12">
      <c r="A686" s="11">
        <v>6</v>
      </c>
      <c r="E686" s="11">
        <v>6</v>
      </c>
      <c r="F686" s="13"/>
      <c r="G686" s="104"/>
      <c r="H686" s="1"/>
      <c r="I686" s="104"/>
      <c r="J686" s="1"/>
      <c r="K686" s="30"/>
      <c r="L686" s="104"/>
      <c r="M686" s="1"/>
    </row>
    <row r="687" spans="1:13" ht="12">
      <c r="A687" s="11">
        <v>7</v>
      </c>
      <c r="C687" s="12" t="s">
        <v>25</v>
      </c>
      <c r="E687" s="11">
        <v>7</v>
      </c>
      <c r="F687" s="13"/>
      <c r="G687" s="104">
        <v>39.09</v>
      </c>
      <c r="H687" s="1">
        <v>2177197</v>
      </c>
      <c r="I687" s="104">
        <f>J687/58482</f>
        <v>51.82716049382716</v>
      </c>
      <c r="J687" s="1">
        <f>67015+1988377+975564</f>
        <v>3030956</v>
      </c>
      <c r="K687" s="110"/>
      <c r="L687" s="104">
        <f>M687/61406</f>
        <v>60.92644041298896</v>
      </c>
      <c r="M687" s="88">
        <f>48054+2263664+1429531</f>
        <v>3741249</v>
      </c>
    </row>
    <row r="688" spans="1:13" ht="12">
      <c r="A688" s="11">
        <v>8</v>
      </c>
      <c r="C688" s="12" t="s">
        <v>26</v>
      </c>
      <c r="E688" s="11">
        <v>8</v>
      </c>
      <c r="F688" s="13"/>
      <c r="G688" s="104"/>
      <c r="H688" s="1">
        <v>830628</v>
      </c>
      <c r="I688" s="104"/>
      <c r="J688" s="1">
        <f>353839+461489+226862</f>
        <v>1042190</v>
      </c>
      <c r="K688" s="110"/>
      <c r="L688" s="104"/>
      <c r="M688" s="88">
        <f>281934+588816+314582</f>
        <v>1185332</v>
      </c>
    </row>
    <row r="689" spans="1:13" ht="12">
      <c r="A689" s="11">
        <v>9</v>
      </c>
      <c r="C689" s="12" t="s">
        <v>27</v>
      </c>
      <c r="E689" s="11">
        <v>9</v>
      </c>
      <c r="F689" s="13"/>
      <c r="G689" s="104">
        <f>SUM(G687:G688)</f>
        <v>39.09</v>
      </c>
      <c r="H689" s="1">
        <f>SUM(H687:H688)</f>
        <v>3007825</v>
      </c>
      <c r="I689" s="104">
        <f>SUM(I687:I688)</f>
        <v>51.82716049382716</v>
      </c>
      <c r="J689" s="1">
        <f>SUM(J687:J688)</f>
        <v>4073146</v>
      </c>
      <c r="K689" s="30"/>
      <c r="L689" s="104">
        <f>SUM(L687:L688)</f>
        <v>60.92644041298896</v>
      </c>
      <c r="M689" s="1">
        <f>SUM(M687:M688)</f>
        <v>4926581</v>
      </c>
    </row>
    <row r="690" spans="1:13" ht="12">
      <c r="A690" s="11">
        <v>10</v>
      </c>
      <c r="E690" s="11">
        <v>10</v>
      </c>
      <c r="F690" s="13"/>
      <c r="G690" s="104"/>
      <c r="H690" s="1"/>
      <c r="I690" s="104"/>
      <c r="J690" s="1"/>
      <c r="K690" s="30"/>
      <c r="L690" s="104"/>
      <c r="M690" s="1"/>
    </row>
    <row r="691" spans="1:13" ht="12">
      <c r="A691" s="11">
        <v>11</v>
      </c>
      <c r="C691" s="12" t="s">
        <v>28</v>
      </c>
      <c r="E691" s="11">
        <v>11</v>
      </c>
      <c r="F691" s="13"/>
      <c r="G691" s="104">
        <f>SUM(G689,G684)</f>
        <v>69.91</v>
      </c>
      <c r="H691" s="1">
        <f>SUM(H689,H684)</f>
        <v>6421078</v>
      </c>
      <c r="I691" s="104">
        <f>SUM(I689,I684)</f>
        <v>92.49233272802073</v>
      </c>
      <c r="J691" s="1">
        <f>SUM(J689,J684)</f>
        <v>8822883</v>
      </c>
      <c r="K691" s="30"/>
      <c r="L691" s="104">
        <f>SUM(L689,L684)</f>
        <v>109.43318553772757</v>
      </c>
      <c r="M691" s="1">
        <f>SUM(M689,M684)</f>
        <v>10976631</v>
      </c>
    </row>
    <row r="692" spans="1:13" ht="12">
      <c r="A692" s="11">
        <v>12</v>
      </c>
      <c r="E692" s="11">
        <v>12</v>
      </c>
      <c r="F692" s="13"/>
      <c r="G692" s="104"/>
      <c r="H692" s="1"/>
      <c r="I692" s="104"/>
      <c r="J692" s="1"/>
      <c r="K692" s="30"/>
      <c r="L692" s="104"/>
      <c r="M692" s="1"/>
    </row>
    <row r="693" spans="1:13" ht="12">
      <c r="A693" s="11">
        <v>13</v>
      </c>
      <c r="C693" s="12" t="s">
        <v>38</v>
      </c>
      <c r="E693" s="11">
        <v>13</v>
      </c>
      <c r="F693" s="13"/>
      <c r="G693" s="104"/>
      <c r="H693" s="1">
        <v>54613</v>
      </c>
      <c r="I693" s="104"/>
      <c r="J693" s="1">
        <f>21819+242+43548+328+24603+114</f>
        <v>90654</v>
      </c>
      <c r="K693" s="110"/>
      <c r="L693" s="104"/>
      <c r="M693" s="88">
        <f>18000+144+26694+109+33960+1799</f>
        <v>80706</v>
      </c>
    </row>
    <row r="694" spans="1:13" ht="12">
      <c r="A694" s="11">
        <v>14</v>
      </c>
      <c r="E694" s="11">
        <v>14</v>
      </c>
      <c r="F694" s="13"/>
      <c r="G694" s="104"/>
      <c r="H694" s="1"/>
      <c r="I694" s="104"/>
      <c r="J694" s="1"/>
      <c r="K694" s="110"/>
      <c r="L694" s="104"/>
      <c r="M694" s="1"/>
    </row>
    <row r="695" spans="1:13" ht="12">
      <c r="A695" s="11">
        <v>15</v>
      </c>
      <c r="C695" s="12" t="s">
        <v>30</v>
      </c>
      <c r="E695" s="11">
        <v>15</v>
      </c>
      <c r="F695" s="13"/>
      <c r="G695" s="104"/>
      <c r="H695" s="1">
        <v>71216</v>
      </c>
      <c r="I695" s="104"/>
      <c r="J695" s="1">
        <f>29605+53304</f>
        <v>82909</v>
      </c>
      <c r="K695" s="110"/>
      <c r="L695" s="104"/>
      <c r="M695" s="88">
        <f>12427+13921</f>
        <v>26348</v>
      </c>
    </row>
    <row r="696" spans="1:13" ht="12">
      <c r="A696" s="11">
        <v>16</v>
      </c>
      <c r="C696" s="12" t="s">
        <v>31</v>
      </c>
      <c r="E696" s="11">
        <v>16</v>
      </c>
      <c r="F696" s="13"/>
      <c r="G696" s="104"/>
      <c r="H696" s="1">
        <f>184069</f>
        <v>184069</v>
      </c>
      <c r="I696" s="104"/>
      <c r="J696" s="1">
        <f>1998799-2127117+2246989+1598091+16-24530-1801277+26669+1972827-539286-2280780</f>
        <v>1070401</v>
      </c>
      <c r="K696" s="110"/>
      <c r="L696" s="104"/>
      <c r="M696" s="88">
        <f>2058646-1800000+6069992+7250+3088150-539286-5750-2433640-3380487-1500000-400000</f>
        <v>1164875</v>
      </c>
    </row>
    <row r="697" spans="1:13" ht="12">
      <c r="A697" s="11">
        <v>17</v>
      </c>
      <c r="C697" s="12" t="s">
        <v>32</v>
      </c>
      <c r="E697" s="11">
        <v>17</v>
      </c>
      <c r="F697" s="13"/>
      <c r="G697" s="104"/>
      <c r="H697" s="1"/>
      <c r="I697" s="104"/>
      <c r="J697" s="1">
        <f>7175+226937-7175-226937</f>
        <v>0</v>
      </c>
      <c r="K697" s="110"/>
      <c r="L697" s="104"/>
      <c r="M697" s="1">
        <f>70416-70416</f>
        <v>0</v>
      </c>
    </row>
    <row r="698" spans="1:13" ht="12">
      <c r="A698" s="11">
        <v>18</v>
      </c>
      <c r="E698" s="11">
        <v>18</v>
      </c>
      <c r="F698" s="13"/>
      <c r="G698" s="104"/>
      <c r="H698" s="1"/>
      <c r="I698" s="104"/>
      <c r="J698" s="1"/>
      <c r="K698" s="110"/>
      <c r="L698" s="104"/>
      <c r="M698" s="1"/>
    </row>
    <row r="699" spans="1:13" ht="12">
      <c r="A699" s="11">
        <v>19</v>
      </c>
      <c r="C699" s="12" t="s">
        <v>42</v>
      </c>
      <c r="E699" s="11">
        <v>19</v>
      </c>
      <c r="F699" s="13"/>
      <c r="G699" s="104"/>
      <c r="H699" s="1">
        <v>396919</v>
      </c>
      <c r="I699" s="104"/>
      <c r="J699" s="1">
        <v>539286</v>
      </c>
      <c r="K699" s="110"/>
      <c r="L699" s="104"/>
      <c r="M699" s="1">
        <v>539286</v>
      </c>
    </row>
    <row r="700" spans="1:13" ht="12">
      <c r="A700" s="11">
        <v>20</v>
      </c>
      <c r="C700" s="12"/>
      <c r="E700" s="11">
        <v>20</v>
      </c>
      <c r="F700" s="13"/>
      <c r="G700" s="104"/>
      <c r="H700" s="1"/>
      <c r="I700" s="104"/>
      <c r="J700" s="1"/>
      <c r="K700" s="110"/>
      <c r="L700" s="104"/>
      <c r="M700" s="1"/>
    </row>
    <row r="701" spans="1:13" ht="12">
      <c r="A701" s="11">
        <v>21</v>
      </c>
      <c r="C701" s="12"/>
      <c r="E701" s="11">
        <v>21</v>
      </c>
      <c r="F701" s="13"/>
      <c r="G701" s="104"/>
      <c r="H701" s="1"/>
      <c r="I701" s="104"/>
      <c r="J701" s="1"/>
      <c r="K701" s="110"/>
      <c r="L701" s="104"/>
      <c r="M701" s="1"/>
    </row>
    <row r="702" spans="1:13" ht="12">
      <c r="A702" s="11">
        <v>22</v>
      </c>
      <c r="C702" s="12"/>
      <c r="E702" s="11">
        <v>22</v>
      </c>
      <c r="F702" s="13"/>
      <c r="G702" s="104"/>
      <c r="H702" s="1"/>
      <c r="I702" s="104"/>
      <c r="J702" s="1"/>
      <c r="K702" s="110"/>
      <c r="L702" s="104"/>
      <c r="M702" s="1"/>
    </row>
    <row r="703" spans="1:13" ht="12">
      <c r="A703" s="11">
        <v>23</v>
      </c>
      <c r="C703" s="12"/>
      <c r="E703" s="11">
        <v>23</v>
      </c>
      <c r="F703" s="13"/>
      <c r="G703" s="104"/>
      <c r="H703" s="1"/>
      <c r="I703" s="104"/>
      <c r="J703" s="1"/>
      <c r="K703" s="110"/>
      <c r="L703" s="104"/>
      <c r="M703" s="1"/>
    </row>
    <row r="704" spans="1:13" ht="12">
      <c r="A704" s="11">
        <v>24</v>
      </c>
      <c r="C704" s="12"/>
      <c r="E704" s="11">
        <v>24</v>
      </c>
      <c r="F704" s="13"/>
      <c r="G704" s="119"/>
      <c r="H704" s="98"/>
      <c r="I704" s="119"/>
      <c r="J704" s="98"/>
      <c r="K704" s="13"/>
      <c r="L704" s="119"/>
      <c r="M704" s="98"/>
    </row>
    <row r="705" spans="5:13" ht="12">
      <c r="E705" s="50"/>
      <c r="F705" s="90" t="s">
        <v>1</v>
      </c>
      <c r="G705" s="89"/>
      <c r="H705" s="90"/>
      <c r="I705" s="90" t="s">
        <v>1</v>
      </c>
      <c r="J705" s="23" t="s">
        <v>1</v>
      </c>
      <c r="K705" s="90" t="s">
        <v>1</v>
      </c>
      <c r="L705" s="90" t="s">
        <v>1</v>
      </c>
      <c r="M705" s="23" t="s">
        <v>1</v>
      </c>
    </row>
    <row r="706" spans="1:13" ht="15.75" customHeight="1">
      <c r="A706" s="11">
        <v>25</v>
      </c>
      <c r="C706" s="12" t="s">
        <v>239</v>
      </c>
      <c r="E706" s="11">
        <v>25</v>
      </c>
      <c r="G706" s="107">
        <f>SUM(G691:G704)</f>
        <v>69.91</v>
      </c>
      <c r="H706" s="100">
        <f>SUM(H691:H704)</f>
        <v>7127895</v>
      </c>
      <c r="I706" s="107">
        <f>SUM(I691:I704)</f>
        <v>92.49233272802073</v>
      </c>
      <c r="J706" s="100">
        <f>SUM(J691:J704)</f>
        <v>10606133</v>
      </c>
      <c r="K706" s="30"/>
      <c r="L706" s="107">
        <f>SUM(L691:L704)</f>
        <v>109.43318553772757</v>
      </c>
      <c r="M706" s="100">
        <f>SUM(M691:M704)</f>
        <v>12787846</v>
      </c>
    </row>
    <row r="707" spans="5:13" ht="12">
      <c r="E707" s="50"/>
      <c r="F707" s="90" t="s">
        <v>1</v>
      </c>
      <c r="G707" s="90"/>
      <c r="H707" s="90"/>
      <c r="I707" s="22"/>
      <c r="J707" s="23"/>
      <c r="K707" s="90"/>
      <c r="L707" s="22"/>
      <c r="M707" s="23"/>
    </row>
    <row r="708" ht="12">
      <c r="A708" s="12"/>
    </row>
    <row r="710" spans="1:13" s="46" customFormat="1" ht="12">
      <c r="A710" s="19" t="str">
        <f>$A$36</f>
        <v>Institution No.:  GFD</v>
      </c>
      <c r="E710" s="51"/>
      <c r="I710" s="52"/>
      <c r="J710" s="53"/>
      <c r="L710" s="52"/>
      <c r="M710" s="18" t="s">
        <v>44</v>
      </c>
    </row>
    <row r="711" spans="1:13" s="46" customFormat="1" ht="12">
      <c r="A711" s="274" t="s">
        <v>154</v>
      </c>
      <c r="B711" s="274"/>
      <c r="C711" s="274"/>
      <c r="D711" s="274"/>
      <c r="E711" s="274"/>
      <c r="F711" s="274"/>
      <c r="G711" s="274"/>
      <c r="H711" s="274"/>
      <c r="I711" s="274"/>
      <c r="J711" s="274"/>
      <c r="K711" s="274"/>
      <c r="L711" s="274"/>
      <c r="M711" s="274"/>
    </row>
    <row r="712" spans="1:13" ht="12">
      <c r="A712" s="19" t="s">
        <v>664</v>
      </c>
      <c r="C712" s="7" t="s">
        <v>665</v>
      </c>
      <c r="F712" s="92"/>
      <c r="G712" s="92"/>
      <c r="H712" s="92"/>
      <c r="I712" s="85"/>
      <c r="J712" s="86"/>
      <c r="L712" s="17"/>
      <c r="M712" s="20" t="str">
        <f>$M$3</f>
        <v>Date: 10/1/2008</v>
      </c>
    </row>
    <row r="713" spans="1:13" ht="12">
      <c r="A713" s="21" t="s">
        <v>1</v>
      </c>
      <c r="B713" s="21" t="s">
        <v>1</v>
      </c>
      <c r="C713" s="21" t="s">
        <v>1</v>
      </c>
      <c r="D713" s="21" t="s">
        <v>1</v>
      </c>
      <c r="E713" s="21" t="s">
        <v>1</v>
      </c>
      <c r="F713" s="21" t="s">
        <v>1</v>
      </c>
      <c r="G713" s="21"/>
      <c r="H713" s="21"/>
      <c r="I713" s="22" t="s">
        <v>1</v>
      </c>
      <c r="J713" s="23" t="s">
        <v>1</v>
      </c>
      <c r="K713" s="21" t="s">
        <v>1</v>
      </c>
      <c r="L713" s="22" t="s">
        <v>1</v>
      </c>
      <c r="M713" s="23" t="s">
        <v>1</v>
      </c>
    </row>
    <row r="714" spans="1:13" ht="12">
      <c r="A714" s="24" t="s">
        <v>2</v>
      </c>
      <c r="E714" s="24" t="s">
        <v>2</v>
      </c>
      <c r="F714" s="25"/>
      <c r="G714" s="26"/>
      <c r="H714" s="25" t="s">
        <v>249</v>
      </c>
      <c r="I714" s="26"/>
      <c r="J714" s="27" t="s">
        <v>251</v>
      </c>
      <c r="K714" s="25"/>
      <c r="L714" s="26"/>
      <c r="M714" s="27" t="s">
        <v>260</v>
      </c>
    </row>
    <row r="715" spans="1:13" ht="12">
      <c r="A715" s="24" t="s">
        <v>4</v>
      </c>
      <c r="C715" s="28" t="s">
        <v>20</v>
      </c>
      <c r="E715" s="24" t="s">
        <v>4</v>
      </c>
      <c r="F715" s="25"/>
      <c r="G715" s="26" t="s">
        <v>6</v>
      </c>
      <c r="H715" s="27" t="s">
        <v>7</v>
      </c>
      <c r="I715" s="26" t="s">
        <v>6</v>
      </c>
      <c r="J715" s="27" t="s">
        <v>7</v>
      </c>
      <c r="K715" s="25"/>
      <c r="L715" s="26" t="s">
        <v>6</v>
      </c>
      <c r="M715" s="27" t="s">
        <v>8</v>
      </c>
    </row>
    <row r="716" spans="1:13" ht="12">
      <c r="A716" s="21" t="s">
        <v>1</v>
      </c>
      <c r="B716" s="21" t="s">
        <v>1</v>
      </c>
      <c r="C716" s="21" t="s">
        <v>1</v>
      </c>
      <c r="D716" s="21" t="s">
        <v>1</v>
      </c>
      <c r="E716" s="21" t="s">
        <v>1</v>
      </c>
      <c r="F716" s="21" t="s">
        <v>1</v>
      </c>
      <c r="G716" s="21"/>
      <c r="H716" s="21"/>
      <c r="I716" s="22"/>
      <c r="J716" s="23"/>
      <c r="K716" s="21"/>
      <c r="L716" s="22"/>
      <c r="M716" s="23"/>
    </row>
    <row r="717" spans="1:13" ht="12">
      <c r="A717" s="11">
        <v>1</v>
      </c>
      <c r="C717" s="12" t="s">
        <v>36</v>
      </c>
      <c r="E717" s="11">
        <v>1</v>
      </c>
      <c r="F717" s="13"/>
      <c r="G717" s="104">
        <v>2.79</v>
      </c>
      <c r="H717" s="1">
        <v>155740</v>
      </c>
      <c r="I717" s="104">
        <f>J717/58703</f>
        <v>2.7769790300325368</v>
      </c>
      <c r="J717" s="1">
        <f>30+162987</f>
        <v>163017</v>
      </c>
      <c r="K717" s="110"/>
      <c r="L717" s="120">
        <v>3.32</v>
      </c>
      <c r="M717" s="1">
        <f>204613</f>
        <v>204613</v>
      </c>
    </row>
    <row r="718" spans="1:13" ht="12">
      <c r="A718" s="11">
        <v>2</v>
      </c>
      <c r="C718" s="12" t="s">
        <v>37</v>
      </c>
      <c r="E718" s="11">
        <v>2</v>
      </c>
      <c r="F718" s="13"/>
      <c r="G718" s="104"/>
      <c r="H718" s="1">
        <v>31535</v>
      </c>
      <c r="I718" s="104"/>
      <c r="J718" s="1">
        <f>34753</f>
        <v>34753</v>
      </c>
      <c r="K718" s="110"/>
      <c r="L718" s="120"/>
      <c r="M718" s="1">
        <f>47157</f>
        <v>47157</v>
      </c>
    </row>
    <row r="719" spans="1:13" ht="12">
      <c r="A719" s="11">
        <v>3</v>
      </c>
      <c r="E719" s="11">
        <v>3</v>
      </c>
      <c r="F719" s="13"/>
      <c r="G719" s="104"/>
      <c r="H719" s="1"/>
      <c r="I719" s="104"/>
      <c r="J719" s="1"/>
      <c r="K719" s="110"/>
      <c r="L719" s="120"/>
      <c r="M719" s="1"/>
    </row>
    <row r="720" spans="1:13" ht="12">
      <c r="A720" s="11">
        <v>4</v>
      </c>
      <c r="C720" s="12" t="s">
        <v>23</v>
      </c>
      <c r="E720" s="11">
        <v>4</v>
      </c>
      <c r="F720" s="13"/>
      <c r="G720" s="104">
        <f>SUM(G717:G719)</f>
        <v>2.79</v>
      </c>
      <c r="H720" s="1">
        <f>SUM(H717:H719)</f>
        <v>187275</v>
      </c>
      <c r="I720" s="104">
        <f>SUM(I717:I719)</f>
        <v>2.7769790300325368</v>
      </c>
      <c r="J720" s="1">
        <f>SUM(J717:J719)</f>
        <v>197770</v>
      </c>
      <c r="K720" s="30"/>
      <c r="L720" s="120">
        <f>SUM(L717:L719)</f>
        <v>3.32</v>
      </c>
      <c r="M720" s="1">
        <f>SUM(M717:M719)</f>
        <v>251770</v>
      </c>
    </row>
    <row r="721" spans="1:13" ht="12">
      <c r="A721" s="11">
        <v>5</v>
      </c>
      <c r="E721" s="11">
        <v>5</v>
      </c>
      <c r="F721" s="13"/>
      <c r="G721" s="104"/>
      <c r="H721" s="1"/>
      <c r="I721" s="104"/>
      <c r="J721" s="1"/>
      <c r="K721" s="30"/>
      <c r="L721" s="120"/>
      <c r="M721" s="1"/>
    </row>
    <row r="722" spans="1:13" ht="12">
      <c r="A722" s="11">
        <v>6</v>
      </c>
      <c r="E722" s="11">
        <v>6</v>
      </c>
      <c r="F722" s="13"/>
      <c r="G722" s="104"/>
      <c r="H722" s="1"/>
      <c r="I722" s="104"/>
      <c r="J722" s="1"/>
      <c r="K722" s="30"/>
      <c r="L722" s="120"/>
      <c r="M722" s="1"/>
    </row>
    <row r="723" spans="1:13" ht="12">
      <c r="A723" s="11">
        <v>7</v>
      </c>
      <c r="C723" s="12" t="s">
        <v>25</v>
      </c>
      <c r="E723" s="11">
        <v>7</v>
      </c>
      <c r="F723" s="188"/>
      <c r="G723" s="104">
        <v>26.74</v>
      </c>
      <c r="H723" s="1">
        <v>1350689</v>
      </c>
      <c r="I723" s="104">
        <f>J723/52034</f>
        <v>14.65236191720798</v>
      </c>
      <c r="J723" s="1">
        <f>762421</f>
        <v>762421</v>
      </c>
      <c r="K723" s="110"/>
      <c r="L723" s="120">
        <f>16.49</f>
        <v>16.49</v>
      </c>
      <c r="M723" s="1">
        <f>1029091</f>
        <v>1029091</v>
      </c>
    </row>
    <row r="724" spans="1:13" ht="12">
      <c r="A724" s="11">
        <v>8</v>
      </c>
      <c r="C724" s="12" t="s">
        <v>26</v>
      </c>
      <c r="E724" s="11">
        <v>8</v>
      </c>
      <c r="F724" s="13"/>
      <c r="G724" s="104"/>
      <c r="H724" s="1">
        <v>296327</v>
      </c>
      <c r="I724" s="104"/>
      <c r="J724" s="1">
        <f>180390</f>
        <v>180390</v>
      </c>
      <c r="K724" s="110"/>
      <c r="L724" s="120"/>
      <c r="M724" s="1">
        <f>282906</f>
        <v>282906</v>
      </c>
    </row>
    <row r="725" spans="1:13" ht="12">
      <c r="A725" s="11">
        <v>9</v>
      </c>
      <c r="C725" s="12" t="s">
        <v>27</v>
      </c>
      <c r="E725" s="11">
        <v>9</v>
      </c>
      <c r="F725" s="13"/>
      <c r="G725" s="104">
        <f>SUM(G723:G724)</f>
        <v>26.74</v>
      </c>
      <c r="H725" s="1">
        <f>SUM(H723:H724)</f>
        <v>1647016</v>
      </c>
      <c r="I725" s="104">
        <f>SUM(I723:I724)</f>
        <v>14.65236191720798</v>
      </c>
      <c r="J725" s="1">
        <f>SUM(J723:J724)</f>
        <v>942811</v>
      </c>
      <c r="K725" s="30"/>
      <c r="L725" s="120">
        <f>SUM(L723:L724)</f>
        <v>16.49</v>
      </c>
      <c r="M725" s="1">
        <f>SUM(M723:M724)</f>
        <v>1311997</v>
      </c>
    </row>
    <row r="726" spans="1:13" ht="12">
      <c r="A726" s="11">
        <v>10</v>
      </c>
      <c r="E726" s="11">
        <v>10</v>
      </c>
      <c r="F726" s="13"/>
      <c r="G726" s="104"/>
      <c r="H726" s="1"/>
      <c r="I726" s="104"/>
      <c r="J726" s="1"/>
      <c r="K726" s="30"/>
      <c r="L726" s="120"/>
      <c r="M726" s="1"/>
    </row>
    <row r="727" spans="1:13" ht="12">
      <c r="A727" s="11">
        <v>11</v>
      </c>
      <c r="C727" s="12" t="s">
        <v>28</v>
      </c>
      <c r="E727" s="11">
        <v>11</v>
      </c>
      <c r="G727" s="107">
        <f>SUM(G725,G720)</f>
        <v>29.529999999999998</v>
      </c>
      <c r="H727" s="100">
        <f>SUM(H725,H720)</f>
        <v>1834291</v>
      </c>
      <c r="I727" s="107">
        <f>SUM(I725,I720)</f>
        <v>17.429340947240515</v>
      </c>
      <c r="J727" s="100">
        <f>SUM(J725,J720)</f>
        <v>1140581</v>
      </c>
      <c r="K727" s="30"/>
      <c r="L727" s="121">
        <f>SUM(L725,L720)</f>
        <v>19.81</v>
      </c>
      <c r="M727" s="100">
        <f>SUM(M725,M720)</f>
        <v>1563767</v>
      </c>
    </row>
    <row r="728" spans="1:13" ht="12">
      <c r="A728" s="11">
        <v>12</v>
      </c>
      <c r="E728" s="11">
        <v>12</v>
      </c>
      <c r="G728" s="107"/>
      <c r="H728" s="100"/>
      <c r="I728" s="107"/>
      <c r="J728" s="100"/>
      <c r="K728" s="30"/>
      <c r="L728" s="121"/>
      <c r="M728" s="100"/>
    </row>
    <row r="729" spans="1:13" ht="12">
      <c r="A729" s="11">
        <v>13</v>
      </c>
      <c r="C729" s="12" t="s">
        <v>38</v>
      </c>
      <c r="E729" s="11">
        <v>13</v>
      </c>
      <c r="F729" s="13"/>
      <c r="G729" s="104"/>
      <c r="H729" s="1">
        <v>6561</v>
      </c>
      <c r="I729" s="104"/>
      <c r="J729" s="1">
        <f>110+6+5615+52</f>
        <v>5783</v>
      </c>
      <c r="K729" s="110"/>
      <c r="L729" s="120"/>
      <c r="M729" s="1">
        <f>4187</f>
        <v>4187</v>
      </c>
    </row>
    <row r="730" spans="1:13" ht="12">
      <c r="A730" s="11">
        <v>14</v>
      </c>
      <c r="C730" s="12" t="s">
        <v>46</v>
      </c>
      <c r="E730" s="11">
        <v>14</v>
      </c>
      <c r="F730" s="13"/>
      <c r="G730" s="104"/>
      <c r="H730" s="1"/>
      <c r="I730" s="104"/>
      <c r="J730" s="1"/>
      <c r="K730" s="110"/>
      <c r="L730" s="120"/>
      <c r="M730" s="1"/>
    </row>
    <row r="731" spans="1:13" ht="12">
      <c r="A731" s="11">
        <v>15</v>
      </c>
      <c r="C731" s="12" t="s">
        <v>30</v>
      </c>
      <c r="E731" s="11">
        <v>15</v>
      </c>
      <c r="F731" s="13"/>
      <c r="G731" s="104"/>
      <c r="H731" s="1">
        <v>4281</v>
      </c>
      <c r="I731" s="104"/>
      <c r="J731" s="1">
        <f>2710</f>
        <v>2710</v>
      </c>
      <c r="K731" s="110"/>
      <c r="L731" s="120"/>
      <c r="M731" s="1"/>
    </row>
    <row r="732" spans="1:13" ht="12">
      <c r="A732" s="11">
        <v>16</v>
      </c>
      <c r="C732" s="12" t="s">
        <v>45</v>
      </c>
      <c r="E732" s="11">
        <v>16</v>
      </c>
      <c r="F732" s="13"/>
      <c r="G732" s="104"/>
      <c r="H732" s="1">
        <f>1771420</f>
        <v>1771420</v>
      </c>
      <c r="I732" s="104"/>
      <c r="J732" s="1">
        <f>612840-1132299+54318+1132299-1240137+1240137</f>
        <v>667158</v>
      </c>
      <c r="K732" s="110"/>
      <c r="L732" s="120"/>
      <c r="M732" s="1">
        <f>800437-2433640+2433640</f>
        <v>800437</v>
      </c>
    </row>
    <row r="733" spans="1:13" ht="12">
      <c r="A733" s="11">
        <v>17</v>
      </c>
      <c r="C733" s="12" t="s">
        <v>31</v>
      </c>
      <c r="E733" s="11">
        <v>17</v>
      </c>
      <c r="F733" s="13"/>
      <c r="G733" s="104"/>
      <c r="H733" s="1">
        <v>-632863</v>
      </c>
      <c r="I733" s="104"/>
      <c r="J733" s="1">
        <f>4295670-221174-304038+732316+304077-802060-333036+21066-4233950-435600</f>
        <v>-976729</v>
      </c>
      <c r="K733" s="110"/>
      <c r="L733" s="120"/>
      <c r="M733" s="1">
        <f>4590284-309046-290000-4570713</f>
        <v>-579475</v>
      </c>
    </row>
    <row r="734" spans="1:13" ht="12">
      <c r="A734" s="11">
        <v>18</v>
      </c>
      <c r="C734" s="12" t="s">
        <v>32</v>
      </c>
      <c r="E734" s="11">
        <v>18</v>
      </c>
      <c r="F734" s="13"/>
      <c r="G734" s="104"/>
      <c r="H734" s="1"/>
      <c r="I734" s="104"/>
      <c r="J734" s="1">
        <f>11216-11216</f>
        <v>0</v>
      </c>
      <c r="K734" s="110"/>
      <c r="L734" s="120"/>
      <c r="M734" s="1"/>
    </row>
    <row r="735" spans="1:13" ht="12">
      <c r="A735" s="11">
        <v>19</v>
      </c>
      <c r="C735" s="12" t="s">
        <v>42</v>
      </c>
      <c r="E735" s="11">
        <v>19</v>
      </c>
      <c r="F735" s="13"/>
      <c r="G735" s="104"/>
      <c r="H735" s="1">
        <v>4235334</v>
      </c>
      <c r="I735" s="104"/>
      <c r="J735" s="1">
        <v>4233950</v>
      </c>
      <c r="K735" s="110"/>
      <c r="L735" s="120"/>
      <c r="M735" s="1">
        <f>4570713-200000</f>
        <v>4370713</v>
      </c>
    </row>
    <row r="736" spans="1:13" ht="12">
      <c r="A736" s="11">
        <v>20</v>
      </c>
      <c r="C736" s="12"/>
      <c r="E736" s="11">
        <v>20</v>
      </c>
      <c r="F736" s="13"/>
      <c r="G736" s="104"/>
      <c r="H736" s="1"/>
      <c r="I736" s="104"/>
      <c r="J736" s="1"/>
      <c r="K736" s="110"/>
      <c r="L736" s="120"/>
      <c r="M736" s="1"/>
    </row>
    <row r="737" spans="1:13" ht="12">
      <c r="A737" s="11">
        <v>21</v>
      </c>
      <c r="C737" s="12"/>
      <c r="E737" s="11">
        <v>21</v>
      </c>
      <c r="F737" s="13"/>
      <c r="G737" s="104"/>
      <c r="H737" s="1"/>
      <c r="I737" s="104"/>
      <c r="J737" s="1"/>
      <c r="K737" s="110"/>
      <c r="L737" s="120"/>
      <c r="M737" s="1"/>
    </row>
    <row r="738" spans="1:13" ht="12">
      <c r="A738" s="11">
        <v>22</v>
      </c>
      <c r="C738" s="12"/>
      <c r="E738" s="11">
        <v>22</v>
      </c>
      <c r="F738" s="13"/>
      <c r="G738" s="104"/>
      <c r="H738" s="1"/>
      <c r="I738" s="104"/>
      <c r="J738" s="1"/>
      <c r="K738" s="110"/>
      <c r="L738" s="120"/>
      <c r="M738" s="1"/>
    </row>
    <row r="739" spans="1:13" ht="12">
      <c r="A739" s="11">
        <v>23</v>
      </c>
      <c r="C739" s="12"/>
      <c r="E739" s="11">
        <v>23</v>
      </c>
      <c r="F739" s="13"/>
      <c r="G739" s="104"/>
      <c r="H739" s="1"/>
      <c r="I739" s="104"/>
      <c r="J739" s="1"/>
      <c r="K739" s="110"/>
      <c r="L739" s="120"/>
      <c r="M739" s="1"/>
    </row>
    <row r="740" spans="1:13" ht="12">
      <c r="A740" s="11">
        <v>24</v>
      </c>
      <c r="C740" s="12"/>
      <c r="E740" s="11">
        <v>24</v>
      </c>
      <c r="F740" s="13"/>
      <c r="G740" s="119"/>
      <c r="H740" s="98"/>
      <c r="I740" s="119"/>
      <c r="J740" s="98"/>
      <c r="K740" s="13"/>
      <c r="L740" s="122"/>
      <c r="M740" s="98"/>
    </row>
    <row r="741" spans="5:13" ht="12">
      <c r="E741" s="50"/>
      <c r="F741" s="90" t="s">
        <v>1</v>
      </c>
      <c r="G741" s="89"/>
      <c r="H741" s="90"/>
      <c r="I741" s="90" t="s">
        <v>1</v>
      </c>
      <c r="J741" s="23" t="s">
        <v>1</v>
      </c>
      <c r="K741" s="90" t="s">
        <v>1</v>
      </c>
      <c r="L741" s="123" t="s">
        <v>1</v>
      </c>
      <c r="M741" s="23" t="s">
        <v>1</v>
      </c>
    </row>
    <row r="742" spans="1:13" ht="15.75" customHeight="1">
      <c r="A742" s="11">
        <v>25</v>
      </c>
      <c r="C742" s="124" t="s">
        <v>243</v>
      </c>
      <c r="E742" s="11">
        <v>25</v>
      </c>
      <c r="G742" s="107">
        <f>SUM(G727:G740)</f>
        <v>29.529999999999998</v>
      </c>
      <c r="H742" s="100">
        <f>SUM(H727:H740)</f>
        <v>7219024</v>
      </c>
      <c r="I742" s="107">
        <f>SUM(I727:I740)</f>
        <v>17.429340947240515</v>
      </c>
      <c r="J742" s="100">
        <f>SUM(J727:J740)</f>
        <v>5073453</v>
      </c>
      <c r="K742" s="25"/>
      <c r="L742" s="121">
        <f>SUM(L727:L740)</f>
        <v>19.81</v>
      </c>
      <c r="M742" s="100">
        <f>SUM(M727:M740)</f>
        <v>6159629</v>
      </c>
    </row>
    <row r="743" spans="4:13" ht="12">
      <c r="D743" s="81"/>
      <c r="F743" s="90" t="s">
        <v>1</v>
      </c>
      <c r="G743" s="90"/>
      <c r="H743" s="90"/>
      <c r="I743" s="22"/>
      <c r="J743" s="23"/>
      <c r="K743" s="90"/>
      <c r="L743" s="123"/>
      <c r="M743" s="23"/>
    </row>
    <row r="744" spans="4:13" ht="12">
      <c r="D744" s="81"/>
      <c r="F744" s="90"/>
      <c r="G744" s="90"/>
      <c r="H744" s="31"/>
      <c r="I744" s="31"/>
      <c r="J744" s="31"/>
      <c r="K744" s="31"/>
      <c r="L744" s="31"/>
      <c r="M744" s="31"/>
    </row>
    <row r="745" spans="1:13" ht="12">
      <c r="A745" s="11">
        <v>26</v>
      </c>
      <c r="C745" s="12" t="s">
        <v>47</v>
      </c>
      <c r="E745" s="11">
        <v>26</v>
      </c>
      <c r="F745" s="13"/>
      <c r="G745" s="13"/>
      <c r="H745" s="110"/>
      <c r="I745" s="31"/>
      <c r="J745" s="110"/>
      <c r="K745" s="30"/>
      <c r="L745" s="31"/>
      <c r="M745" s="110"/>
    </row>
    <row r="746" spans="1:13" ht="12">
      <c r="A746" s="11">
        <v>27</v>
      </c>
      <c r="C746" s="12" t="s">
        <v>48</v>
      </c>
      <c r="E746" s="11">
        <v>27</v>
      </c>
      <c r="F746" s="13"/>
      <c r="G746" s="13"/>
      <c r="H746" s="2">
        <f>140530+165942</f>
        <v>306472</v>
      </c>
      <c r="I746" s="2"/>
      <c r="J746" s="2">
        <f>+H756</f>
        <v>306472</v>
      </c>
      <c r="K746" s="2"/>
      <c r="L746" s="2"/>
      <c r="M746" s="2">
        <f>+J756</f>
        <v>411472</v>
      </c>
    </row>
    <row r="747" spans="1:13" ht="12">
      <c r="A747" s="11">
        <v>28</v>
      </c>
      <c r="C747" s="12" t="s">
        <v>49</v>
      </c>
      <c r="E747" s="11">
        <v>28</v>
      </c>
      <c r="F747" s="13"/>
      <c r="G747" s="13"/>
      <c r="H747" s="2"/>
      <c r="I747" s="2"/>
      <c r="J747" s="2">
        <v>0</v>
      </c>
      <c r="K747" s="2"/>
      <c r="L747" s="2"/>
      <c r="M747" s="2">
        <v>0</v>
      </c>
    </row>
    <row r="748" spans="1:13" ht="12">
      <c r="A748" s="11">
        <v>29</v>
      </c>
      <c r="C748" s="13" t="s">
        <v>609</v>
      </c>
      <c r="E748" s="11">
        <v>29</v>
      </c>
      <c r="F748" s="13"/>
      <c r="G748" s="13"/>
      <c r="H748" s="2"/>
      <c r="I748" s="2"/>
      <c r="J748" s="2">
        <v>105000</v>
      </c>
      <c r="K748" s="2"/>
      <c r="L748" s="2"/>
      <c r="M748" s="2"/>
    </row>
    <row r="749" spans="1:13" ht="12">
      <c r="A749" s="11">
        <v>30</v>
      </c>
      <c r="C749" s="13"/>
      <c r="E749" s="11">
        <v>30</v>
      </c>
      <c r="F749" s="13"/>
      <c r="G749" s="13"/>
      <c r="H749" s="2"/>
      <c r="I749" s="2"/>
      <c r="J749" s="2"/>
      <c r="K749" s="2"/>
      <c r="L749" s="2"/>
      <c r="M749" s="2"/>
    </row>
    <row r="750" spans="1:13" ht="12">
      <c r="A750" s="11">
        <v>31</v>
      </c>
      <c r="C750" s="13"/>
      <c r="E750" s="11">
        <v>31</v>
      </c>
      <c r="F750" s="13"/>
      <c r="G750" s="13"/>
      <c r="H750" s="2"/>
      <c r="I750" s="2"/>
      <c r="J750" s="2"/>
      <c r="K750" s="2"/>
      <c r="L750" s="2"/>
      <c r="M750" s="2"/>
    </row>
    <row r="751" spans="1:13" ht="12">
      <c r="A751" s="11">
        <v>32</v>
      </c>
      <c r="C751" s="13"/>
      <c r="E751" s="11">
        <v>32</v>
      </c>
      <c r="H751" s="65"/>
      <c r="I751" s="2"/>
      <c r="J751" s="65"/>
      <c r="K751" s="2"/>
      <c r="L751" s="2"/>
      <c r="M751" s="65"/>
    </row>
    <row r="752" spans="1:13" ht="12">
      <c r="A752" s="11">
        <v>33</v>
      </c>
      <c r="C752" s="12" t="s">
        <v>50</v>
      </c>
      <c r="E752" s="11">
        <v>33</v>
      </c>
      <c r="F752" s="13"/>
      <c r="G752" s="13"/>
      <c r="H752" s="2">
        <v>0</v>
      </c>
      <c r="I752" s="2"/>
      <c r="J752" s="2">
        <v>0</v>
      </c>
      <c r="K752" s="2"/>
      <c r="L752" s="2"/>
      <c r="M752" s="2">
        <v>0</v>
      </c>
    </row>
    <row r="753" spans="1:13" ht="12">
      <c r="A753" s="11">
        <v>34</v>
      </c>
      <c r="C753" s="13"/>
      <c r="E753" s="11">
        <v>34</v>
      </c>
      <c r="F753" s="13"/>
      <c r="G753" s="13"/>
      <c r="H753" s="2"/>
      <c r="I753" s="2"/>
      <c r="J753" s="2"/>
      <c r="K753" s="2"/>
      <c r="L753" s="2"/>
      <c r="M753" s="2"/>
    </row>
    <row r="754" spans="1:13" ht="12">
      <c r="A754" s="11">
        <v>35</v>
      </c>
      <c r="C754" s="13"/>
      <c r="E754" s="11">
        <v>35</v>
      </c>
      <c r="F754" s="13"/>
      <c r="G754" s="13"/>
      <c r="H754" s="2"/>
      <c r="I754" s="2"/>
      <c r="J754" s="2"/>
      <c r="K754" s="2"/>
      <c r="L754" s="2"/>
      <c r="M754" s="2"/>
    </row>
    <row r="755" spans="1:13" ht="12">
      <c r="A755" s="11">
        <v>36</v>
      </c>
      <c r="C755" s="13"/>
      <c r="E755" s="11">
        <v>36</v>
      </c>
      <c r="F755" s="13"/>
      <c r="G755" s="13"/>
      <c r="H755" s="2"/>
      <c r="I755" s="2"/>
      <c r="J755" s="2"/>
      <c r="K755" s="2"/>
      <c r="L755" s="2"/>
      <c r="M755" s="2"/>
    </row>
    <row r="756" spans="1:13" ht="12">
      <c r="A756" s="11">
        <f>(A755+1)</f>
        <v>37</v>
      </c>
      <c r="C756" s="12" t="s">
        <v>51</v>
      </c>
      <c r="E756" s="11">
        <f>(E755+1)</f>
        <v>37</v>
      </c>
      <c r="H756" s="65">
        <f>(SUM(H746:H751))-(SUM(H752:H755))</f>
        <v>306472</v>
      </c>
      <c r="I756" s="62"/>
      <c r="J756" s="65">
        <f>(SUM(J746:J751))-(SUM(J752:J755))</f>
        <v>411472</v>
      </c>
      <c r="K756" s="62"/>
      <c r="L756" s="62"/>
      <c r="M756" s="65">
        <f>(SUM(M746:M751))-(SUM(M752:M755))</f>
        <v>411472</v>
      </c>
    </row>
    <row r="757" spans="1:13" ht="12">
      <c r="A757" s="11">
        <f>(A756+1)</f>
        <v>38</v>
      </c>
      <c r="E757" s="11">
        <f>(E756+1)</f>
        <v>38</v>
      </c>
      <c r="F757" s="13"/>
      <c r="G757" s="13"/>
      <c r="H757" s="2"/>
      <c r="I757" s="62"/>
      <c r="J757" s="2"/>
      <c r="K757" s="62"/>
      <c r="L757" s="62"/>
      <c r="M757" s="2"/>
    </row>
    <row r="758" spans="1:13" ht="12">
      <c r="A758" s="11">
        <f>(A757+1)</f>
        <v>39</v>
      </c>
      <c r="C758" s="12" t="s">
        <v>52</v>
      </c>
      <c r="E758" s="11">
        <f>(E757+1)</f>
        <v>39</v>
      </c>
      <c r="F758" s="13"/>
      <c r="G758" s="13"/>
      <c r="H758" s="2"/>
      <c r="I758" s="2"/>
      <c r="J758" s="2"/>
      <c r="K758" s="2"/>
      <c r="L758" s="2"/>
      <c r="M758" s="2"/>
    </row>
    <row r="759" spans="8:13" ht="12">
      <c r="H759" s="65"/>
      <c r="I759" s="62"/>
      <c r="J759" s="65"/>
      <c r="K759" s="62"/>
      <c r="L759" s="62"/>
      <c r="M759" s="62"/>
    </row>
    <row r="760" ht="12">
      <c r="A760" s="12"/>
    </row>
    <row r="761" spans="1:13" s="46" customFormat="1" ht="12">
      <c r="A761" s="19" t="str">
        <f>$A$36</f>
        <v>Institution No.:  GFD</v>
      </c>
      <c r="E761" s="51"/>
      <c r="I761" s="52"/>
      <c r="J761" s="53"/>
      <c r="L761" s="52"/>
      <c r="M761" s="18" t="s">
        <v>53</v>
      </c>
    </row>
    <row r="762" spans="1:13" s="46" customFormat="1" ht="12">
      <c r="A762" s="274" t="s">
        <v>155</v>
      </c>
      <c r="B762" s="274"/>
      <c r="C762" s="274"/>
      <c r="D762" s="274"/>
      <c r="E762" s="274"/>
      <c r="F762" s="274"/>
      <c r="G762" s="274"/>
      <c r="H762" s="274"/>
      <c r="I762" s="274"/>
      <c r="J762" s="274"/>
      <c r="K762" s="274"/>
      <c r="L762" s="274"/>
      <c r="M762" s="274"/>
    </row>
    <row r="763" spans="1:13" ht="12">
      <c r="A763" s="19" t="s">
        <v>664</v>
      </c>
      <c r="C763" s="7" t="s">
        <v>665</v>
      </c>
      <c r="F763" s="92"/>
      <c r="G763" s="92"/>
      <c r="H763" s="92"/>
      <c r="I763" s="85"/>
      <c r="J763" s="86"/>
      <c r="L763" s="17"/>
      <c r="M763" s="20" t="str">
        <f>$M$3</f>
        <v>Date: 10/1/2008</v>
      </c>
    </row>
    <row r="764" spans="1:13" ht="12">
      <c r="A764" s="21" t="s">
        <v>1</v>
      </c>
      <c r="B764" s="21" t="s">
        <v>1</v>
      </c>
      <c r="C764" s="21" t="s">
        <v>1</v>
      </c>
      <c r="D764" s="21" t="s">
        <v>1</v>
      </c>
      <c r="E764" s="21" t="s">
        <v>1</v>
      </c>
      <c r="F764" s="21" t="s">
        <v>1</v>
      </c>
      <c r="G764" s="21"/>
      <c r="H764" s="21"/>
      <c r="I764" s="22" t="s">
        <v>1</v>
      </c>
      <c r="J764" s="23" t="s">
        <v>1</v>
      </c>
      <c r="K764" s="21" t="s">
        <v>1</v>
      </c>
      <c r="L764" s="22" t="s">
        <v>1</v>
      </c>
      <c r="M764" s="23" t="s">
        <v>1</v>
      </c>
    </row>
    <row r="765" spans="1:13" ht="12">
      <c r="A765" s="24" t="s">
        <v>2</v>
      </c>
      <c r="E765" s="24" t="s">
        <v>2</v>
      </c>
      <c r="F765" s="25"/>
      <c r="G765" s="26"/>
      <c r="H765" s="25" t="s">
        <v>249</v>
      </c>
      <c r="I765" s="26"/>
      <c r="J765" s="27" t="s">
        <v>251</v>
      </c>
      <c r="K765" s="25"/>
      <c r="L765" s="26"/>
      <c r="M765" s="27" t="s">
        <v>260</v>
      </c>
    </row>
    <row r="766" spans="1:13" ht="12">
      <c r="A766" s="24" t="s">
        <v>4</v>
      </c>
      <c r="C766" s="28" t="s">
        <v>20</v>
      </c>
      <c r="E766" s="24" t="s">
        <v>4</v>
      </c>
      <c r="H766" s="27" t="s">
        <v>7</v>
      </c>
      <c r="I766" s="17"/>
      <c r="J766" s="27" t="s">
        <v>7</v>
      </c>
      <c r="L766" s="17"/>
      <c r="M766" s="27" t="s">
        <v>8</v>
      </c>
    </row>
    <row r="767" spans="1:13" ht="12">
      <c r="A767" s="21" t="s">
        <v>1</v>
      </c>
      <c r="B767" s="21" t="s">
        <v>1</v>
      </c>
      <c r="C767" s="21" t="s">
        <v>1</v>
      </c>
      <c r="D767" s="21" t="s">
        <v>1</v>
      </c>
      <c r="E767" s="21" t="s">
        <v>1</v>
      </c>
      <c r="F767" s="21" t="s">
        <v>1</v>
      </c>
      <c r="G767" s="21"/>
      <c r="H767" s="21"/>
      <c r="I767" s="22" t="s">
        <v>1</v>
      </c>
      <c r="J767" s="23" t="s">
        <v>1</v>
      </c>
      <c r="K767" s="21" t="s">
        <v>1</v>
      </c>
      <c r="L767" s="22" t="s">
        <v>1</v>
      </c>
      <c r="M767" s="23" t="s">
        <v>1</v>
      </c>
    </row>
    <row r="768" spans="1:13" ht="12">
      <c r="A768" s="11">
        <v>1</v>
      </c>
      <c r="C768" s="12" t="s">
        <v>54</v>
      </c>
      <c r="E768" s="11">
        <v>1</v>
      </c>
      <c r="F768" s="13"/>
      <c r="G768" s="13"/>
      <c r="H768" s="1">
        <v>4399048</v>
      </c>
      <c r="I768" s="1"/>
      <c r="J768" s="1">
        <f>-9428271-123404+15150522+13389+242693+6452+105</f>
        <v>5861486</v>
      </c>
      <c r="K768" s="1"/>
      <c r="L768" s="1"/>
      <c r="M768" s="1">
        <f>6384863+80000+5750+243749</f>
        <v>6714362</v>
      </c>
    </row>
    <row r="769" spans="1:13" ht="12">
      <c r="A769" s="11">
        <f aca="true" t="shared" si="15" ref="A769:A786">(A768+1)</f>
        <v>2</v>
      </c>
      <c r="C769" s="13"/>
      <c r="E769" s="11">
        <f aca="true" t="shared" si="16" ref="E769:E786">(E768+1)</f>
        <v>2</v>
      </c>
      <c r="F769" s="13"/>
      <c r="G769" s="13"/>
      <c r="H769" s="13"/>
      <c r="I769" s="14"/>
      <c r="J769" s="15"/>
      <c r="K769" s="13"/>
      <c r="L769" s="14"/>
      <c r="M769" s="15"/>
    </row>
    <row r="770" spans="1:13" ht="12">
      <c r="A770" s="11">
        <f t="shared" si="15"/>
        <v>3</v>
      </c>
      <c r="C770" s="13"/>
      <c r="E770" s="11">
        <f t="shared" si="16"/>
        <v>3</v>
      </c>
      <c r="F770" s="13"/>
      <c r="G770" s="13"/>
      <c r="H770" s="13"/>
      <c r="I770" s="14"/>
      <c r="J770" s="15"/>
      <c r="K770" s="13"/>
      <c r="L770" s="14"/>
      <c r="M770" s="15"/>
    </row>
    <row r="771" spans="1:13" ht="12">
      <c r="A771" s="11">
        <f t="shared" si="15"/>
        <v>4</v>
      </c>
      <c r="C771" s="13"/>
      <c r="E771" s="11">
        <f t="shared" si="16"/>
        <v>4</v>
      </c>
      <c r="F771" s="13"/>
      <c r="G771" s="13"/>
      <c r="H771" s="13"/>
      <c r="I771" s="14"/>
      <c r="J771" s="15"/>
      <c r="K771" s="13"/>
      <c r="L771" s="14"/>
      <c r="M771" s="15"/>
    </row>
    <row r="772" spans="1:13" ht="12">
      <c r="A772" s="11">
        <f t="shared" si="15"/>
        <v>5</v>
      </c>
      <c r="C772" s="13"/>
      <c r="E772" s="11">
        <f t="shared" si="16"/>
        <v>5</v>
      </c>
      <c r="F772" s="13"/>
      <c r="G772" s="13"/>
      <c r="H772" s="13"/>
      <c r="I772" s="14"/>
      <c r="J772" s="15"/>
      <c r="K772" s="13"/>
      <c r="L772" s="14"/>
      <c r="M772" s="15"/>
    </row>
    <row r="773" spans="1:13" ht="12">
      <c r="A773" s="11">
        <f t="shared" si="15"/>
        <v>6</v>
      </c>
      <c r="C773" s="13"/>
      <c r="E773" s="11">
        <f t="shared" si="16"/>
        <v>6</v>
      </c>
      <c r="F773" s="13"/>
      <c r="G773" s="13"/>
      <c r="H773" s="13"/>
      <c r="I773" s="14"/>
      <c r="J773" s="15"/>
      <c r="K773" s="13"/>
      <c r="L773" s="14"/>
      <c r="M773" s="15"/>
    </row>
    <row r="774" spans="1:13" ht="12">
      <c r="A774" s="11">
        <f t="shared" si="15"/>
        <v>7</v>
      </c>
      <c r="C774" s="13"/>
      <c r="E774" s="11">
        <f t="shared" si="16"/>
        <v>7</v>
      </c>
      <c r="F774" s="13"/>
      <c r="G774" s="13"/>
      <c r="H774" s="13"/>
      <c r="I774" s="14"/>
      <c r="J774" s="15"/>
      <c r="K774" s="13"/>
      <c r="L774" s="14"/>
      <c r="M774" s="15"/>
    </row>
    <row r="775" spans="1:13" ht="12">
      <c r="A775" s="11">
        <f t="shared" si="15"/>
        <v>8</v>
      </c>
      <c r="C775" s="13"/>
      <c r="E775" s="11">
        <f t="shared" si="16"/>
        <v>8</v>
      </c>
      <c r="F775" s="13"/>
      <c r="G775" s="13"/>
      <c r="H775" s="13"/>
      <c r="I775" s="14"/>
      <c r="J775" s="15"/>
      <c r="K775" s="13"/>
      <c r="L775" s="14"/>
      <c r="M775" s="15"/>
    </row>
    <row r="776" spans="1:13" ht="12">
      <c r="A776" s="11">
        <f t="shared" si="15"/>
        <v>9</v>
      </c>
      <c r="C776" s="13"/>
      <c r="E776" s="11">
        <f t="shared" si="16"/>
        <v>9</v>
      </c>
      <c r="F776" s="13"/>
      <c r="G776" s="13"/>
      <c r="H776" s="13"/>
      <c r="I776" s="14"/>
      <c r="J776" s="15"/>
      <c r="K776" s="13"/>
      <c r="L776" s="14"/>
      <c r="M776" s="15"/>
    </row>
    <row r="777" spans="1:13" ht="12">
      <c r="A777" s="11">
        <f t="shared" si="15"/>
        <v>10</v>
      </c>
      <c r="C777" s="13"/>
      <c r="E777" s="11">
        <f t="shared" si="16"/>
        <v>10</v>
      </c>
      <c r="F777" s="13"/>
      <c r="G777" s="13"/>
      <c r="H777" s="13"/>
      <c r="I777" s="14"/>
      <c r="J777" s="15"/>
      <c r="K777" s="13"/>
      <c r="L777" s="14"/>
      <c r="M777" s="15"/>
    </row>
    <row r="778" spans="1:13" ht="12">
      <c r="A778" s="11">
        <f t="shared" si="15"/>
        <v>11</v>
      </c>
      <c r="C778" s="13"/>
      <c r="E778" s="11">
        <f t="shared" si="16"/>
        <v>11</v>
      </c>
      <c r="I778" s="14"/>
      <c r="J778" s="15"/>
      <c r="K778" s="13"/>
      <c r="L778" s="14"/>
      <c r="M778" s="15"/>
    </row>
    <row r="779" spans="1:13" ht="12">
      <c r="A779" s="11">
        <f t="shared" si="15"/>
        <v>12</v>
      </c>
      <c r="C779" s="13"/>
      <c r="E779" s="11">
        <f t="shared" si="16"/>
        <v>12</v>
      </c>
      <c r="I779" s="14"/>
      <c r="J779" s="15"/>
      <c r="K779" s="13"/>
      <c r="L779" s="14"/>
      <c r="M779" s="15"/>
    </row>
    <row r="780" spans="1:13" ht="12">
      <c r="A780" s="11">
        <f t="shared" si="15"/>
        <v>13</v>
      </c>
      <c r="C780" s="13"/>
      <c r="E780" s="11">
        <f t="shared" si="16"/>
        <v>13</v>
      </c>
      <c r="F780" s="13"/>
      <c r="G780" s="13"/>
      <c r="H780" s="13"/>
      <c r="I780" s="14"/>
      <c r="J780" s="15"/>
      <c r="K780" s="13"/>
      <c r="L780" s="14"/>
      <c r="M780" s="15"/>
    </row>
    <row r="781" spans="1:13" ht="12">
      <c r="A781" s="11">
        <f t="shared" si="15"/>
        <v>14</v>
      </c>
      <c r="C781" s="13"/>
      <c r="E781" s="11">
        <f t="shared" si="16"/>
        <v>14</v>
      </c>
      <c r="F781" s="13"/>
      <c r="G781" s="13"/>
      <c r="H781" s="13"/>
      <c r="I781" s="14"/>
      <c r="J781" s="15"/>
      <c r="K781" s="13"/>
      <c r="L781" s="14"/>
      <c r="M781" s="15"/>
    </row>
    <row r="782" spans="1:13" ht="12">
      <c r="A782" s="11">
        <f t="shared" si="15"/>
        <v>15</v>
      </c>
      <c r="C782" s="13"/>
      <c r="E782" s="11">
        <f t="shared" si="16"/>
        <v>15</v>
      </c>
      <c r="F782" s="13"/>
      <c r="G782" s="13"/>
      <c r="H782" s="13"/>
      <c r="I782" s="14"/>
      <c r="J782" s="15"/>
      <c r="K782" s="13"/>
      <c r="L782" s="14"/>
      <c r="M782" s="15"/>
    </row>
    <row r="783" spans="1:13" ht="12">
      <c r="A783" s="11">
        <f t="shared" si="15"/>
        <v>16</v>
      </c>
      <c r="C783" s="13"/>
      <c r="E783" s="11">
        <f t="shared" si="16"/>
        <v>16</v>
      </c>
      <c r="F783" s="13"/>
      <c r="G783" s="13"/>
      <c r="H783" s="13"/>
      <c r="I783" s="14"/>
      <c r="J783" s="15"/>
      <c r="K783" s="13"/>
      <c r="L783" s="14"/>
      <c r="M783" s="15"/>
    </row>
    <row r="784" spans="1:13" ht="12">
      <c r="A784" s="11">
        <f t="shared" si="15"/>
        <v>17</v>
      </c>
      <c r="C784" s="13"/>
      <c r="E784" s="11">
        <f t="shared" si="16"/>
        <v>17</v>
      </c>
      <c r="F784" s="13"/>
      <c r="G784" s="13"/>
      <c r="H784" s="13"/>
      <c r="I784" s="14"/>
      <c r="J784" s="15"/>
      <c r="K784" s="13"/>
      <c r="L784" s="14"/>
      <c r="M784" s="15"/>
    </row>
    <row r="785" spans="1:13" ht="12">
      <c r="A785" s="11">
        <f t="shared" si="15"/>
        <v>18</v>
      </c>
      <c r="C785" s="13"/>
      <c r="E785" s="11">
        <f t="shared" si="16"/>
        <v>18</v>
      </c>
      <c r="F785" s="13"/>
      <c r="G785" s="13"/>
      <c r="H785" s="13"/>
      <c r="I785" s="14"/>
      <c r="J785" s="15"/>
      <c r="K785" s="13"/>
      <c r="L785" s="14"/>
      <c r="M785" s="15"/>
    </row>
    <row r="786" spans="1:13" ht="12">
      <c r="A786" s="11">
        <f t="shared" si="15"/>
        <v>19</v>
      </c>
      <c r="C786" s="13"/>
      <c r="E786" s="11">
        <f t="shared" si="16"/>
        <v>19</v>
      </c>
      <c r="F786" s="13"/>
      <c r="G786" s="13"/>
      <c r="H786" s="13"/>
      <c r="I786" s="14"/>
      <c r="J786" s="15"/>
      <c r="K786" s="13"/>
      <c r="L786" s="14"/>
      <c r="M786" s="15"/>
    </row>
    <row r="787" spans="1:13" ht="12">
      <c r="A787" s="11">
        <v>20</v>
      </c>
      <c r="E787" s="11">
        <v>20</v>
      </c>
      <c r="F787" s="90"/>
      <c r="G787" s="90"/>
      <c r="H787" s="90"/>
      <c r="I787" s="22"/>
      <c r="J787" s="23"/>
      <c r="K787" s="90"/>
      <c r="L787" s="22"/>
      <c r="M787" s="23"/>
    </row>
    <row r="788" spans="1:13" ht="12">
      <c r="A788" s="11">
        <v>21</v>
      </c>
      <c r="E788" s="11">
        <v>21</v>
      </c>
      <c r="F788" s="90"/>
      <c r="G788" s="90"/>
      <c r="H788" s="90"/>
      <c r="I788" s="22"/>
      <c r="J788" s="55"/>
      <c r="K788" s="90"/>
      <c r="L788" s="22"/>
      <c r="M788" s="55"/>
    </row>
    <row r="789" spans="1:13" ht="12">
      <c r="A789" s="11">
        <v>22</v>
      </c>
      <c r="E789" s="11">
        <v>22</v>
      </c>
      <c r="I789" s="17"/>
      <c r="J789" s="55"/>
      <c r="L789" s="17"/>
      <c r="M789" s="55"/>
    </row>
    <row r="790" spans="1:13" ht="12">
      <c r="A790" s="11">
        <v>23</v>
      </c>
      <c r="D790" s="81"/>
      <c r="E790" s="11">
        <v>23</v>
      </c>
      <c r="J790" s="55"/>
      <c r="M790" s="55"/>
    </row>
    <row r="791" spans="1:13" ht="12">
      <c r="A791" s="11">
        <v>24</v>
      </c>
      <c r="D791" s="81"/>
      <c r="E791" s="11">
        <v>24</v>
      </c>
      <c r="J791" s="55"/>
      <c r="M791" s="55"/>
    </row>
    <row r="792" spans="6:13" ht="12">
      <c r="F792" s="90" t="s">
        <v>1</v>
      </c>
      <c r="G792" s="90"/>
      <c r="H792" s="90"/>
      <c r="I792" s="22" t="s">
        <v>1</v>
      </c>
      <c r="J792" s="23"/>
      <c r="K792" s="90"/>
      <c r="L792" s="22"/>
      <c r="M792" s="23"/>
    </row>
    <row r="793" spans="1:13" ht="15.75" customHeight="1">
      <c r="A793" s="11">
        <v>25</v>
      </c>
      <c r="C793" s="12" t="s">
        <v>240</v>
      </c>
      <c r="E793" s="11">
        <v>25</v>
      </c>
      <c r="H793" s="100">
        <f>SUM(H768:H791)</f>
        <v>4399048</v>
      </c>
      <c r="I793" s="101"/>
      <c r="J793" s="100">
        <f>SUM(J768:J791)</f>
        <v>5861486</v>
      </c>
      <c r="K793" s="100"/>
      <c r="L793" s="101"/>
      <c r="M793" s="100">
        <f>SUM(M768:M791)</f>
        <v>6714362</v>
      </c>
    </row>
    <row r="794" spans="4:13" ht="12">
      <c r="D794" s="81"/>
      <c r="F794" s="90" t="s">
        <v>1</v>
      </c>
      <c r="G794" s="90"/>
      <c r="H794" s="90"/>
      <c r="I794" s="22" t="s">
        <v>1</v>
      </c>
      <c r="J794" s="23"/>
      <c r="K794" s="90"/>
      <c r="L794" s="22"/>
      <c r="M794" s="23"/>
    </row>
    <row r="795" spans="6:13" ht="12">
      <c r="F795" s="90"/>
      <c r="G795" s="90"/>
      <c r="H795" s="90"/>
      <c r="I795" s="22"/>
      <c r="J795" s="23"/>
      <c r="K795" s="90"/>
      <c r="L795" s="22"/>
      <c r="M795" s="23"/>
    </row>
    <row r="796" spans="9:13" ht="12">
      <c r="I796" s="17"/>
      <c r="J796" s="55"/>
      <c r="L796" s="17"/>
      <c r="M796" s="55"/>
    </row>
    <row r="797" spans="5:13" ht="12">
      <c r="E797" s="7">
        <v>26</v>
      </c>
      <c r="I797" s="17"/>
      <c r="J797" s="55"/>
      <c r="L797" s="17"/>
      <c r="M797" s="55"/>
    </row>
    <row r="798" ht="12">
      <c r="A798" s="12"/>
    </row>
    <row r="800" spans="1:13" s="46" customFormat="1" ht="12">
      <c r="A800" s="19" t="str">
        <f>$A$36</f>
        <v>Institution No.:  GFD</v>
      </c>
      <c r="E800" s="51"/>
      <c r="I800" s="52"/>
      <c r="J800" s="53"/>
      <c r="L800" s="52"/>
      <c r="M800" s="18" t="s">
        <v>55</v>
      </c>
    </row>
    <row r="801" spans="1:13" s="46" customFormat="1" ht="12">
      <c r="A801" s="274" t="s">
        <v>156</v>
      </c>
      <c r="B801" s="274"/>
      <c r="C801" s="274"/>
      <c r="D801" s="274"/>
      <c r="E801" s="274"/>
      <c r="F801" s="274"/>
      <c r="G801" s="274"/>
      <c r="H801" s="274"/>
      <c r="I801" s="274"/>
      <c r="J801" s="274"/>
      <c r="K801" s="274"/>
      <c r="L801" s="274"/>
      <c r="M801" s="274"/>
    </row>
    <row r="802" spans="1:13" ht="12">
      <c r="A802" s="19" t="s">
        <v>664</v>
      </c>
      <c r="C802" s="7" t="s">
        <v>665</v>
      </c>
      <c r="I802" s="125"/>
      <c r="J802" s="55"/>
      <c r="L802" s="17"/>
      <c r="M802" s="20" t="str">
        <f>$M$3</f>
        <v>Date: 10/1/2008</v>
      </c>
    </row>
    <row r="803" spans="1:13" ht="12">
      <c r="A803" s="21" t="s">
        <v>1</v>
      </c>
      <c r="B803" s="21" t="s">
        <v>1</v>
      </c>
      <c r="C803" s="21" t="s">
        <v>1</v>
      </c>
      <c r="D803" s="21" t="s">
        <v>1</v>
      </c>
      <c r="E803" s="21" t="s">
        <v>1</v>
      </c>
      <c r="F803" s="21" t="s">
        <v>1</v>
      </c>
      <c r="G803" s="21"/>
      <c r="H803" s="21"/>
      <c r="I803" s="22" t="s">
        <v>1</v>
      </c>
      <c r="J803" s="23" t="s">
        <v>1</v>
      </c>
      <c r="K803" s="21" t="s">
        <v>1</v>
      </c>
      <c r="L803" s="22" t="s">
        <v>1</v>
      </c>
      <c r="M803" s="23" t="s">
        <v>1</v>
      </c>
    </row>
    <row r="804" spans="1:13" ht="12">
      <c r="A804" s="24" t="s">
        <v>2</v>
      </c>
      <c r="E804" s="24" t="s">
        <v>2</v>
      </c>
      <c r="F804" s="25"/>
      <c r="G804" s="26"/>
      <c r="H804" s="25" t="s">
        <v>249</v>
      </c>
      <c r="I804" s="26"/>
      <c r="J804" s="27" t="s">
        <v>251</v>
      </c>
      <c r="K804" s="25"/>
      <c r="L804" s="26"/>
      <c r="M804" s="27" t="s">
        <v>260</v>
      </c>
    </row>
    <row r="805" spans="1:13" ht="12">
      <c r="A805" s="24" t="s">
        <v>4</v>
      </c>
      <c r="C805" s="28" t="s">
        <v>20</v>
      </c>
      <c r="E805" s="24" t="s">
        <v>4</v>
      </c>
      <c r="F805" s="25"/>
      <c r="G805" s="26" t="s">
        <v>21</v>
      </c>
      <c r="H805" s="27" t="s">
        <v>7</v>
      </c>
      <c r="I805" s="26" t="s">
        <v>21</v>
      </c>
      <c r="J805" s="27" t="s">
        <v>7</v>
      </c>
      <c r="K805" s="25"/>
      <c r="L805" s="26" t="s">
        <v>21</v>
      </c>
      <c r="M805" s="27" t="s">
        <v>8</v>
      </c>
    </row>
    <row r="806" spans="1:13" ht="12">
      <c r="A806" s="21" t="s">
        <v>1</v>
      </c>
      <c r="B806" s="21" t="s">
        <v>1</v>
      </c>
      <c r="C806" s="21" t="s">
        <v>1</v>
      </c>
      <c r="D806" s="21" t="s">
        <v>1</v>
      </c>
      <c r="E806" s="21" t="s">
        <v>1</v>
      </c>
      <c r="F806" s="21" t="s">
        <v>1</v>
      </c>
      <c r="G806" s="21"/>
      <c r="H806" s="21"/>
      <c r="I806" s="22" t="s">
        <v>1</v>
      </c>
      <c r="J806" s="23" t="s">
        <v>1</v>
      </c>
      <c r="K806" s="21" t="s">
        <v>1</v>
      </c>
      <c r="L806" s="22" t="s">
        <v>1</v>
      </c>
      <c r="M806" s="23" t="s">
        <v>1</v>
      </c>
    </row>
    <row r="807" spans="1:13" ht="12">
      <c r="A807" s="11">
        <v>1</v>
      </c>
      <c r="C807" s="12" t="s">
        <v>36</v>
      </c>
      <c r="E807" s="11">
        <v>1</v>
      </c>
      <c r="F807" s="13"/>
      <c r="G807" s="105">
        <v>0</v>
      </c>
      <c r="H807" s="1">
        <v>0</v>
      </c>
      <c r="I807" s="105">
        <v>0</v>
      </c>
      <c r="J807" s="1">
        <v>0</v>
      </c>
      <c r="K807" s="110"/>
      <c r="L807" s="105">
        <v>0</v>
      </c>
      <c r="M807" s="1">
        <v>0</v>
      </c>
    </row>
    <row r="808" spans="1:13" ht="12">
      <c r="A808" s="11">
        <v>2</v>
      </c>
      <c r="C808" s="12" t="s">
        <v>37</v>
      </c>
      <c r="E808" s="11">
        <v>2</v>
      </c>
      <c r="F808" s="13"/>
      <c r="G808" s="105"/>
      <c r="H808" s="1">
        <v>0</v>
      </c>
      <c r="I808" s="105"/>
      <c r="J808" s="1">
        <v>0</v>
      </c>
      <c r="K808" s="110"/>
      <c r="L808" s="105"/>
      <c r="M808" s="1">
        <v>0</v>
      </c>
    </row>
    <row r="809" spans="1:13" ht="12">
      <c r="A809" s="11">
        <v>3</v>
      </c>
      <c r="E809" s="11">
        <v>3</v>
      </c>
      <c r="F809" s="13"/>
      <c r="G809" s="105"/>
      <c r="H809" s="1"/>
      <c r="I809" s="105"/>
      <c r="J809" s="1"/>
      <c r="K809" s="110"/>
      <c r="L809" s="105"/>
      <c r="M809" s="1"/>
    </row>
    <row r="810" spans="1:13" ht="12">
      <c r="A810" s="11">
        <v>4</v>
      </c>
      <c r="C810" s="12" t="s">
        <v>23</v>
      </c>
      <c r="E810" s="11">
        <v>4</v>
      </c>
      <c r="F810" s="13"/>
      <c r="G810" s="105">
        <v>0</v>
      </c>
      <c r="H810" s="1">
        <f>SUM(H807:H809)</f>
        <v>0</v>
      </c>
      <c r="I810" s="105">
        <v>0</v>
      </c>
      <c r="J810" s="1">
        <f>SUM(J807:J809)</f>
        <v>0</v>
      </c>
      <c r="K810" s="30"/>
      <c r="L810" s="105">
        <v>0</v>
      </c>
      <c r="M810" s="1">
        <f>SUM(M807:M809)</f>
        <v>0</v>
      </c>
    </row>
    <row r="811" spans="1:13" ht="12">
      <c r="A811" s="11">
        <v>5</v>
      </c>
      <c r="E811" s="11">
        <v>5</v>
      </c>
      <c r="F811" s="13"/>
      <c r="G811" s="105"/>
      <c r="H811" s="1"/>
      <c r="I811" s="105"/>
      <c r="J811" s="1"/>
      <c r="K811" s="30"/>
      <c r="L811" s="105"/>
      <c r="M811" s="1"/>
    </row>
    <row r="812" spans="1:13" ht="12">
      <c r="A812" s="11">
        <v>6</v>
      </c>
      <c r="E812" s="11">
        <v>6</v>
      </c>
      <c r="F812" s="13"/>
      <c r="G812" s="105"/>
      <c r="H812" s="1"/>
      <c r="I812" s="105"/>
      <c r="J812" s="1"/>
      <c r="K812" s="30"/>
      <c r="L812" s="105"/>
      <c r="M812" s="1"/>
    </row>
    <row r="813" spans="1:13" ht="12">
      <c r="A813" s="11">
        <v>7</v>
      </c>
      <c r="C813" s="12" t="s">
        <v>25</v>
      </c>
      <c r="E813" s="11">
        <v>7</v>
      </c>
      <c r="F813" s="13"/>
      <c r="G813" s="105">
        <v>0</v>
      </c>
      <c r="H813" s="1">
        <v>0</v>
      </c>
      <c r="I813" s="105">
        <v>0</v>
      </c>
      <c r="J813" s="1">
        <v>0</v>
      </c>
      <c r="K813" s="110"/>
      <c r="L813" s="105">
        <v>0</v>
      </c>
      <c r="M813" s="1">
        <v>0</v>
      </c>
    </row>
    <row r="814" spans="1:13" ht="12">
      <c r="A814" s="11">
        <v>8</v>
      </c>
      <c r="C814" s="12" t="s">
        <v>26</v>
      </c>
      <c r="E814" s="11">
        <v>8</v>
      </c>
      <c r="F814" s="13"/>
      <c r="G814" s="105"/>
      <c r="H814" s="1">
        <v>0</v>
      </c>
      <c r="I814" s="105"/>
      <c r="J814" s="1">
        <v>0</v>
      </c>
      <c r="K814" s="110"/>
      <c r="L814" s="105"/>
      <c r="M814" s="1">
        <v>0</v>
      </c>
    </row>
    <row r="815" spans="1:13" ht="12">
      <c r="A815" s="11">
        <v>9</v>
      </c>
      <c r="C815" s="12" t="s">
        <v>27</v>
      </c>
      <c r="E815" s="11">
        <v>9</v>
      </c>
      <c r="F815" s="13"/>
      <c r="G815" s="105">
        <v>0</v>
      </c>
      <c r="H815" s="1">
        <f>SUM(H813:H814)</f>
        <v>0</v>
      </c>
      <c r="I815" s="105">
        <v>0</v>
      </c>
      <c r="J815" s="1">
        <f>SUM(J813:J814)</f>
        <v>0</v>
      </c>
      <c r="K815" s="30"/>
      <c r="L815" s="105">
        <v>0</v>
      </c>
      <c r="M815" s="1">
        <f>SUM(M813:M814)</f>
        <v>0</v>
      </c>
    </row>
    <row r="816" spans="1:13" ht="12">
      <c r="A816" s="11">
        <v>10</v>
      </c>
      <c r="E816" s="11">
        <v>10</v>
      </c>
      <c r="F816" s="13"/>
      <c r="G816" s="105"/>
      <c r="H816" s="1"/>
      <c r="I816" s="105"/>
      <c r="J816" s="1"/>
      <c r="K816" s="30"/>
      <c r="L816" s="105"/>
      <c r="M816" s="1"/>
    </row>
    <row r="817" spans="1:13" ht="12">
      <c r="A817" s="11">
        <v>11</v>
      </c>
      <c r="C817" s="12" t="s">
        <v>28</v>
      </c>
      <c r="E817" s="11">
        <v>11</v>
      </c>
      <c r="F817" s="13"/>
      <c r="G817" s="105">
        <v>0</v>
      </c>
      <c r="H817" s="1">
        <f>SUM(H815,H810)</f>
        <v>0</v>
      </c>
      <c r="I817" s="105">
        <v>0</v>
      </c>
      <c r="J817" s="1">
        <f>SUM(J815,J810)</f>
        <v>0</v>
      </c>
      <c r="K817" s="30"/>
      <c r="L817" s="105">
        <v>0</v>
      </c>
      <c r="M817" s="1">
        <f>SUM(M815,M810)</f>
        <v>0</v>
      </c>
    </row>
    <row r="818" spans="1:13" ht="12">
      <c r="A818" s="11">
        <v>12</v>
      </c>
      <c r="E818" s="11">
        <v>12</v>
      </c>
      <c r="F818" s="13"/>
      <c r="G818" s="105"/>
      <c r="H818" s="1"/>
      <c r="I818" s="105"/>
      <c r="J818" s="1"/>
      <c r="K818" s="30"/>
      <c r="L818" s="105"/>
      <c r="M818" s="1"/>
    </row>
    <row r="819" spans="1:13" ht="12">
      <c r="A819" s="11">
        <v>13</v>
      </c>
      <c r="C819" s="12" t="s">
        <v>38</v>
      </c>
      <c r="E819" s="11">
        <v>13</v>
      </c>
      <c r="F819" s="13"/>
      <c r="G819" s="105"/>
      <c r="H819" s="1">
        <v>0</v>
      </c>
      <c r="I819" s="105"/>
      <c r="J819" s="1">
        <v>0</v>
      </c>
      <c r="K819" s="110"/>
      <c r="L819" s="105"/>
      <c r="M819" s="1">
        <v>0</v>
      </c>
    </row>
    <row r="820" spans="1:13" ht="12">
      <c r="A820" s="11">
        <v>14</v>
      </c>
      <c r="E820" s="11">
        <v>14</v>
      </c>
      <c r="F820" s="13"/>
      <c r="G820" s="105"/>
      <c r="H820" s="1"/>
      <c r="I820" s="105"/>
      <c r="J820" s="1"/>
      <c r="K820" s="110"/>
      <c r="L820" s="105"/>
      <c r="M820" s="1"/>
    </row>
    <row r="821" spans="1:13" ht="12">
      <c r="A821" s="11">
        <v>15</v>
      </c>
      <c r="C821" s="12" t="s">
        <v>30</v>
      </c>
      <c r="E821" s="11">
        <v>15</v>
      </c>
      <c r="F821" s="13"/>
      <c r="G821" s="105"/>
      <c r="H821" s="1">
        <v>0</v>
      </c>
      <c r="I821" s="105"/>
      <c r="J821" s="1">
        <v>0</v>
      </c>
      <c r="K821" s="110"/>
      <c r="L821" s="105"/>
      <c r="M821" s="1">
        <v>0</v>
      </c>
    </row>
    <row r="822" spans="1:13" ht="12">
      <c r="A822" s="11">
        <v>16</v>
      </c>
      <c r="C822" s="12" t="s">
        <v>31</v>
      </c>
      <c r="E822" s="11">
        <v>16</v>
      </c>
      <c r="F822" s="13"/>
      <c r="G822" s="105"/>
      <c r="H822" s="1">
        <v>0</v>
      </c>
      <c r="I822" s="105"/>
      <c r="J822" s="1">
        <v>0</v>
      </c>
      <c r="K822" s="110"/>
      <c r="L822" s="105"/>
      <c r="M822" s="1">
        <f>303820-303820</f>
        <v>0</v>
      </c>
    </row>
    <row r="823" spans="1:13" ht="12">
      <c r="A823" s="11">
        <v>17</v>
      </c>
      <c r="C823" s="12" t="s">
        <v>32</v>
      </c>
      <c r="E823" s="11">
        <v>17</v>
      </c>
      <c r="F823" s="13"/>
      <c r="G823" s="105"/>
      <c r="H823" s="1">
        <v>0</v>
      </c>
      <c r="I823" s="105"/>
      <c r="J823" s="1">
        <v>0</v>
      </c>
      <c r="K823" s="110"/>
      <c r="L823" s="105"/>
      <c r="M823" s="1">
        <v>0</v>
      </c>
    </row>
    <row r="824" spans="1:13" ht="12">
      <c r="A824" s="11">
        <v>18</v>
      </c>
      <c r="C824" s="12"/>
      <c r="E824" s="11">
        <v>18</v>
      </c>
      <c r="F824" s="13"/>
      <c r="G824" s="105"/>
      <c r="H824" s="1"/>
      <c r="I824" s="105"/>
      <c r="J824" s="1"/>
      <c r="K824" s="110"/>
      <c r="L824" s="105"/>
      <c r="M824" s="1"/>
    </row>
    <row r="825" spans="1:13" ht="12">
      <c r="A825" s="11">
        <v>19</v>
      </c>
      <c r="C825" s="12"/>
      <c r="E825" s="11">
        <v>19</v>
      </c>
      <c r="F825" s="13"/>
      <c r="G825" s="105"/>
      <c r="H825" s="1"/>
      <c r="I825" s="105"/>
      <c r="J825" s="1"/>
      <c r="K825" s="110"/>
      <c r="L825" s="105"/>
      <c r="M825" s="1"/>
    </row>
    <row r="826" spans="1:13" ht="12">
      <c r="A826" s="11">
        <v>20</v>
      </c>
      <c r="C826" s="12"/>
      <c r="E826" s="11">
        <v>20</v>
      </c>
      <c r="F826" s="13"/>
      <c r="G826" s="105"/>
      <c r="H826" s="1"/>
      <c r="I826" s="105"/>
      <c r="J826" s="1"/>
      <c r="K826" s="110"/>
      <c r="L826" s="105"/>
      <c r="M826" s="1"/>
    </row>
    <row r="827" spans="1:13" ht="12">
      <c r="A827" s="11">
        <v>21</v>
      </c>
      <c r="C827" s="12"/>
      <c r="E827" s="11">
        <v>21</v>
      </c>
      <c r="F827" s="13"/>
      <c r="G827" s="105"/>
      <c r="H827" s="1"/>
      <c r="I827" s="105"/>
      <c r="J827" s="1"/>
      <c r="K827" s="110"/>
      <c r="L827" s="105"/>
      <c r="M827" s="1"/>
    </row>
    <row r="828" spans="1:13" ht="12">
      <c r="A828" s="11">
        <v>22</v>
      </c>
      <c r="C828" s="12"/>
      <c r="E828" s="11">
        <v>22</v>
      </c>
      <c r="F828" s="13"/>
      <c r="G828" s="105"/>
      <c r="H828" s="1"/>
      <c r="I828" s="105"/>
      <c r="J828" s="1"/>
      <c r="K828" s="110"/>
      <c r="L828" s="105"/>
      <c r="M828" s="1"/>
    </row>
    <row r="829" spans="1:13" ht="12">
      <c r="A829" s="11">
        <v>23</v>
      </c>
      <c r="C829" s="12"/>
      <c r="E829" s="11">
        <v>23</v>
      </c>
      <c r="F829" s="13"/>
      <c r="G829" s="105"/>
      <c r="H829" s="1"/>
      <c r="I829" s="105"/>
      <c r="J829" s="1"/>
      <c r="K829" s="110"/>
      <c r="L829" s="105"/>
      <c r="M829" s="1"/>
    </row>
    <row r="830" spans="1:13" ht="12">
      <c r="A830" s="11">
        <v>24</v>
      </c>
      <c r="C830" s="12"/>
      <c r="E830" s="11">
        <v>24</v>
      </c>
      <c r="F830" s="13"/>
      <c r="G830" s="71"/>
      <c r="H830" s="98"/>
      <c r="I830" s="71"/>
      <c r="J830" s="98"/>
      <c r="K830" s="13"/>
      <c r="L830" s="71"/>
      <c r="M830" s="98"/>
    </row>
    <row r="831" spans="1:13" ht="12">
      <c r="A831" s="21" t="s">
        <v>1</v>
      </c>
      <c r="B831" s="21" t="s">
        <v>1</v>
      </c>
      <c r="C831" s="21" t="s">
        <v>1</v>
      </c>
      <c r="D831" s="21" t="s">
        <v>1</v>
      </c>
      <c r="E831" s="21" t="s">
        <v>1</v>
      </c>
      <c r="F831" s="21" t="s">
        <v>1</v>
      </c>
      <c r="G831" s="21"/>
      <c r="H831" s="21"/>
      <c r="I831" s="22" t="s">
        <v>1</v>
      </c>
      <c r="J831" s="23" t="s">
        <v>1</v>
      </c>
      <c r="K831" s="21" t="s">
        <v>1</v>
      </c>
      <c r="L831" s="22" t="s">
        <v>1</v>
      </c>
      <c r="M831" s="23" t="s">
        <v>1</v>
      </c>
    </row>
    <row r="832" spans="1:13" ht="15.75" customHeight="1">
      <c r="A832" s="11">
        <v>25</v>
      </c>
      <c r="C832" s="12" t="s">
        <v>241</v>
      </c>
      <c r="E832" s="11">
        <v>25</v>
      </c>
      <c r="G832" s="108">
        <f>SUM(G817:G830)</f>
        <v>0</v>
      </c>
      <c r="H832" s="100">
        <f>SUM(H817:H830)</f>
        <v>0</v>
      </c>
      <c r="I832" s="108">
        <f>SUM(I817:I830)</f>
        <v>0</v>
      </c>
      <c r="J832" s="100">
        <f>SUM(J817:J830)</f>
        <v>0</v>
      </c>
      <c r="K832" s="25"/>
      <c r="L832" s="108">
        <f>SUM(L817:L830)</f>
        <v>0</v>
      </c>
      <c r="M832" s="100">
        <f>SUM(M817:M830)</f>
        <v>0</v>
      </c>
    </row>
    <row r="833" spans="5:13" ht="12">
      <c r="E833" s="50"/>
      <c r="F833" s="90" t="s">
        <v>1</v>
      </c>
      <c r="G833" s="90"/>
      <c r="H833" s="90"/>
      <c r="I833" s="22"/>
      <c r="J833" s="23"/>
      <c r="K833" s="90"/>
      <c r="L833" s="22"/>
      <c r="M833" s="23"/>
    </row>
    <row r="835" spans="1:13" ht="12">
      <c r="A835" s="12"/>
      <c r="J835" s="55"/>
      <c r="M835" s="55"/>
    </row>
    <row r="836" spans="1:13" s="46" customFormat="1" ht="12">
      <c r="A836" s="19" t="str">
        <f>$A$36</f>
        <v>Institution No.:  GFD</v>
      </c>
      <c r="E836" s="51"/>
      <c r="I836" s="52"/>
      <c r="J836" s="53"/>
      <c r="L836" s="52"/>
      <c r="M836" s="18" t="s">
        <v>56</v>
      </c>
    </row>
    <row r="837" spans="1:13" s="46" customFormat="1" ht="12">
      <c r="A837" s="275" t="s">
        <v>57</v>
      </c>
      <c r="B837" s="275"/>
      <c r="C837" s="275"/>
      <c r="D837" s="275"/>
      <c r="E837" s="275"/>
      <c r="F837" s="275"/>
      <c r="G837" s="275"/>
      <c r="H837" s="275"/>
      <c r="I837" s="275"/>
      <c r="J837" s="275"/>
      <c r="K837" s="275"/>
      <c r="L837" s="275"/>
      <c r="M837" s="275"/>
    </row>
    <row r="838" spans="1:13" ht="12">
      <c r="A838" s="19" t="s">
        <v>664</v>
      </c>
      <c r="C838" s="7" t="s">
        <v>665</v>
      </c>
      <c r="J838" s="127"/>
      <c r="L838" s="17"/>
      <c r="M838" s="20" t="str">
        <f>$M$3</f>
        <v>Date: 10/1/2008</v>
      </c>
    </row>
    <row r="839" spans="1:13" ht="12">
      <c r="A839" s="21" t="s">
        <v>1</v>
      </c>
      <c r="B839" s="21" t="s">
        <v>1</v>
      </c>
      <c r="C839" s="21" t="s">
        <v>1</v>
      </c>
      <c r="D839" s="21" t="s">
        <v>1</v>
      </c>
      <c r="E839" s="21" t="s">
        <v>1</v>
      </c>
      <c r="F839" s="21" t="s">
        <v>1</v>
      </c>
      <c r="G839" s="21"/>
      <c r="H839" s="21"/>
      <c r="I839" s="22" t="s">
        <v>1</v>
      </c>
      <c r="J839" s="23" t="s">
        <v>1</v>
      </c>
      <c r="K839" s="21" t="s">
        <v>1</v>
      </c>
      <c r="L839" s="22" t="s">
        <v>1</v>
      </c>
      <c r="M839" s="23" t="s">
        <v>1</v>
      </c>
    </row>
    <row r="840" spans="1:13" ht="12">
      <c r="A840" s="24" t="s">
        <v>2</v>
      </c>
      <c r="E840" s="24" t="s">
        <v>2</v>
      </c>
      <c r="F840" s="25"/>
      <c r="G840" s="26"/>
      <c r="H840" s="25" t="s">
        <v>249</v>
      </c>
      <c r="I840" s="26"/>
      <c r="J840" s="27" t="s">
        <v>251</v>
      </c>
      <c r="K840" s="25"/>
      <c r="L840" s="26"/>
      <c r="M840" s="27" t="s">
        <v>260</v>
      </c>
    </row>
    <row r="841" spans="1:13" ht="12">
      <c r="A841" s="24" t="s">
        <v>4</v>
      </c>
      <c r="C841" s="28" t="s">
        <v>20</v>
      </c>
      <c r="E841" s="24" t="s">
        <v>4</v>
      </c>
      <c r="F841" s="25"/>
      <c r="G841" s="25"/>
      <c r="H841" s="27" t="s">
        <v>7</v>
      </c>
      <c r="I841" s="26"/>
      <c r="J841" s="27" t="s">
        <v>7</v>
      </c>
      <c r="K841" s="25"/>
      <c r="L841" s="26"/>
      <c r="M841" s="27" t="s">
        <v>8</v>
      </c>
    </row>
    <row r="842" spans="1:13" ht="12">
      <c r="A842" s="21" t="s">
        <v>1</v>
      </c>
      <c r="B842" s="21" t="s">
        <v>1</v>
      </c>
      <c r="C842" s="21" t="s">
        <v>1</v>
      </c>
      <c r="D842" s="21" t="s">
        <v>1</v>
      </c>
      <c r="E842" s="21" t="s">
        <v>1</v>
      </c>
      <c r="F842" s="21" t="s">
        <v>1</v>
      </c>
      <c r="G842" s="21"/>
      <c r="H842" s="21"/>
      <c r="I842" s="22" t="s">
        <v>1</v>
      </c>
      <c r="J842" s="23" t="s">
        <v>1</v>
      </c>
      <c r="K842" s="21" t="s">
        <v>1</v>
      </c>
      <c r="L842" s="22" t="s">
        <v>1</v>
      </c>
      <c r="M842" s="23" t="s">
        <v>1</v>
      </c>
    </row>
    <row r="843" spans="1:13" ht="12">
      <c r="A843" s="93">
        <v>1</v>
      </c>
      <c r="C843" s="7" t="s">
        <v>58</v>
      </c>
      <c r="E843" s="93">
        <v>1</v>
      </c>
      <c r="F843" s="13"/>
      <c r="G843" s="13"/>
      <c r="H843" s="1">
        <v>2773145</v>
      </c>
      <c r="I843" s="1"/>
      <c r="J843" s="1">
        <f>24173+2890+1406438+497585-1406438+1540385-496632+543930</f>
        <v>2112331</v>
      </c>
      <c r="K843" s="1"/>
      <c r="L843" s="1"/>
      <c r="M843" s="1">
        <f>1571382+1000000</f>
        <v>2571382</v>
      </c>
    </row>
    <row r="844" spans="1:13" ht="12">
      <c r="A844" s="93">
        <v>2</v>
      </c>
      <c r="E844" s="93">
        <v>2</v>
      </c>
      <c r="F844" s="13"/>
      <c r="G844" s="13"/>
      <c r="H844" s="1"/>
      <c r="I844" s="1"/>
      <c r="J844" s="1"/>
      <c r="K844" s="1"/>
      <c r="L844" s="1"/>
      <c r="M844" s="1">
        <v>0</v>
      </c>
    </row>
    <row r="845" spans="1:13" ht="12">
      <c r="A845" s="93">
        <v>3</v>
      </c>
      <c r="C845" s="13"/>
      <c r="E845" s="93">
        <v>3</v>
      </c>
      <c r="F845" s="13"/>
      <c r="G845" s="13"/>
      <c r="H845" s="1">
        <v>0</v>
      </c>
      <c r="I845" s="1"/>
      <c r="J845" s="1">
        <v>0</v>
      </c>
      <c r="K845" s="1"/>
      <c r="L845" s="1"/>
      <c r="M845" s="1">
        <v>0</v>
      </c>
    </row>
    <row r="846" spans="1:13" ht="12">
      <c r="A846" s="93">
        <v>4</v>
      </c>
      <c r="C846" s="13"/>
      <c r="E846" s="93">
        <v>4</v>
      </c>
      <c r="F846" s="13"/>
      <c r="G846" s="13"/>
      <c r="H846" s="1">
        <v>0</v>
      </c>
      <c r="I846" s="1"/>
      <c r="J846" s="1">
        <v>0</v>
      </c>
      <c r="K846" s="1"/>
      <c r="L846" s="1"/>
      <c r="M846" s="1">
        <v>0</v>
      </c>
    </row>
    <row r="847" spans="1:13" ht="12">
      <c r="A847" s="93">
        <v>5</v>
      </c>
      <c r="C847" s="12"/>
      <c r="E847" s="93">
        <v>5</v>
      </c>
      <c r="F847" s="13"/>
      <c r="G847" s="13"/>
      <c r="H847" s="1">
        <v>0</v>
      </c>
      <c r="I847" s="1"/>
      <c r="J847" s="1">
        <v>0</v>
      </c>
      <c r="K847" s="1"/>
      <c r="L847" s="1"/>
      <c r="M847" s="1">
        <v>0</v>
      </c>
    </row>
    <row r="848" spans="1:13" ht="12">
      <c r="A848" s="93">
        <v>6</v>
      </c>
      <c r="C848" s="13"/>
      <c r="E848" s="93">
        <v>6</v>
      </c>
      <c r="F848" s="13"/>
      <c r="G848" s="13"/>
      <c r="H848" s="1">
        <v>0</v>
      </c>
      <c r="I848" s="1"/>
      <c r="J848" s="1">
        <v>0</v>
      </c>
      <c r="K848" s="1"/>
      <c r="L848" s="1"/>
      <c r="M848" s="1">
        <v>0</v>
      </c>
    </row>
    <row r="849" spans="1:13" ht="12">
      <c r="A849" s="93">
        <v>7</v>
      </c>
      <c r="C849" s="13"/>
      <c r="E849" s="93">
        <v>7</v>
      </c>
      <c r="F849" s="13"/>
      <c r="G849" s="13"/>
      <c r="H849" s="1">
        <v>0</v>
      </c>
      <c r="I849" s="1"/>
      <c r="J849" s="1">
        <v>0</v>
      </c>
      <c r="K849" s="1"/>
      <c r="L849" s="1"/>
      <c r="M849" s="1">
        <v>0</v>
      </c>
    </row>
    <row r="850" spans="1:13" ht="12">
      <c r="A850" s="93">
        <v>8</v>
      </c>
      <c r="E850" s="93">
        <v>8</v>
      </c>
      <c r="F850" s="13"/>
      <c r="G850" s="13"/>
      <c r="H850" s="1">
        <v>0</v>
      </c>
      <c r="I850" s="1"/>
      <c r="J850" s="1">
        <v>0</v>
      </c>
      <c r="K850" s="1"/>
      <c r="L850" s="1"/>
      <c r="M850" s="1">
        <v>0</v>
      </c>
    </row>
    <row r="851" spans="1:13" ht="12">
      <c r="A851" s="93">
        <v>9</v>
      </c>
      <c r="E851" s="93">
        <v>9</v>
      </c>
      <c r="F851" s="13"/>
      <c r="G851" s="13"/>
      <c r="H851" s="1">
        <v>0</v>
      </c>
      <c r="I851" s="1"/>
      <c r="J851" s="1">
        <v>0</v>
      </c>
      <c r="K851" s="1"/>
      <c r="L851" s="1"/>
      <c r="M851" s="1">
        <v>0</v>
      </c>
    </row>
    <row r="852" spans="1:13" ht="12">
      <c r="A852" s="96"/>
      <c r="E852" s="96"/>
      <c r="F852" s="90" t="s">
        <v>1</v>
      </c>
      <c r="G852" s="90"/>
      <c r="H852" s="116"/>
      <c r="I852" s="116" t="s">
        <v>1</v>
      </c>
      <c r="J852" s="116"/>
      <c r="K852" s="116"/>
      <c r="L852" s="116"/>
      <c r="M852" s="116"/>
    </row>
    <row r="853" spans="1:13" ht="12">
      <c r="A853" s="93">
        <v>10</v>
      </c>
      <c r="C853" s="7" t="s">
        <v>87</v>
      </c>
      <c r="E853" s="93">
        <v>10</v>
      </c>
      <c r="H853" s="100">
        <f>SUM(H843:H851)</f>
        <v>2773145</v>
      </c>
      <c r="I853" s="101"/>
      <c r="J853" s="1">
        <f>SUM(J843:J851)</f>
        <v>2112331</v>
      </c>
      <c r="K853" s="100"/>
      <c r="L853" s="101"/>
      <c r="M853" s="1">
        <f>SUM(M843:M851)</f>
        <v>2571382</v>
      </c>
    </row>
    <row r="854" spans="1:13" ht="12">
      <c r="A854" s="93"/>
      <c r="E854" s="93"/>
      <c r="F854" s="90" t="s">
        <v>1</v>
      </c>
      <c r="G854" s="90"/>
      <c r="H854" s="116"/>
      <c r="I854" s="116" t="s">
        <v>1</v>
      </c>
      <c r="J854" s="116"/>
      <c r="K854" s="116"/>
      <c r="L854" s="116"/>
      <c r="M854" s="116"/>
    </row>
    <row r="855" spans="1:13" ht="12">
      <c r="A855" s="93">
        <v>11</v>
      </c>
      <c r="C855" s="13"/>
      <c r="E855" s="93">
        <v>11</v>
      </c>
      <c r="F855" s="13"/>
      <c r="G855" s="13"/>
      <c r="H855" s="1"/>
      <c r="I855" s="1"/>
      <c r="J855" s="1"/>
      <c r="K855" s="1"/>
      <c r="L855" s="1"/>
      <c r="M855" s="1"/>
    </row>
    <row r="856" spans="1:13" ht="12">
      <c r="A856" s="93">
        <v>12</v>
      </c>
      <c r="C856" s="12" t="s">
        <v>158</v>
      </c>
      <c r="E856" s="93">
        <v>12</v>
      </c>
      <c r="F856" s="13"/>
      <c r="G856" s="13"/>
      <c r="H856" s="1">
        <v>11035592</v>
      </c>
      <c r="I856" s="1"/>
      <c r="J856" s="1">
        <f>12104700-1104748-5157282+34935+568714-39721+2192+123404+619950+30794+4239105+4891+511023+39133+174504-4137203+4531222-396691+434471+173</f>
        <v>12583566</v>
      </c>
      <c r="K856" s="1"/>
      <c r="L856" s="1"/>
      <c r="M856" s="88">
        <f>-110000-130000-5202639+4281478+278579-71000+552349+5000000+1500000+1500000+484446+738221+206975+400000+200000+100000+300000+55000+55000+600000+400000</f>
        <v>11138409</v>
      </c>
    </row>
    <row r="857" spans="1:13" ht="12">
      <c r="A857" s="93">
        <v>13</v>
      </c>
      <c r="C857" s="13" t="s">
        <v>610</v>
      </c>
      <c r="E857" s="93">
        <v>13</v>
      </c>
      <c r="F857" s="13"/>
      <c r="G857" s="13"/>
      <c r="H857" s="1">
        <v>2421400</v>
      </c>
      <c r="I857" s="1"/>
      <c r="J857" s="1">
        <f>1924924+7175+226937+199626+11216</f>
        <v>2369878</v>
      </c>
      <c r="K857" s="1"/>
      <c r="L857" s="1"/>
      <c r="M857" s="1">
        <f>20860+1500000+70416</f>
        <v>1591276</v>
      </c>
    </row>
    <row r="858" spans="1:13" ht="12">
      <c r="A858" s="93">
        <v>14</v>
      </c>
      <c r="C858" s="7" t="s">
        <v>244</v>
      </c>
      <c r="E858" s="93">
        <v>14</v>
      </c>
      <c r="F858" s="13"/>
      <c r="G858" s="13"/>
      <c r="H858" s="1"/>
      <c r="I858" s="1"/>
      <c r="J858" s="1"/>
      <c r="K858" s="1"/>
      <c r="L858" s="1"/>
      <c r="M858" s="1">
        <v>0</v>
      </c>
    </row>
    <row r="859" spans="1:13" ht="12">
      <c r="A859" s="93">
        <v>15</v>
      </c>
      <c r="E859" s="93">
        <v>15</v>
      </c>
      <c r="F859" s="13"/>
      <c r="G859" s="13"/>
      <c r="H859" s="1"/>
      <c r="I859" s="1"/>
      <c r="J859" s="1"/>
      <c r="K859" s="1"/>
      <c r="L859" s="1"/>
      <c r="M859" s="1">
        <v>0</v>
      </c>
    </row>
    <row r="860" spans="1:13" ht="12">
      <c r="A860" s="93">
        <v>16</v>
      </c>
      <c r="E860" s="93">
        <v>16</v>
      </c>
      <c r="F860" s="13"/>
      <c r="G860" s="13"/>
      <c r="H860" s="1"/>
      <c r="I860" s="1"/>
      <c r="J860" s="1">
        <v>0</v>
      </c>
      <c r="K860" s="1"/>
      <c r="L860" s="1"/>
      <c r="M860" s="1">
        <v>0</v>
      </c>
    </row>
    <row r="861" spans="1:13" ht="12">
      <c r="A861" s="93">
        <v>17</v>
      </c>
      <c r="C861" s="94"/>
      <c r="D861" s="95"/>
      <c r="E861" s="93">
        <v>17</v>
      </c>
      <c r="F861" s="13"/>
      <c r="G861" s="13"/>
      <c r="H861" s="1"/>
      <c r="I861" s="1"/>
      <c r="J861" s="1">
        <v>0</v>
      </c>
      <c r="K861" s="1"/>
      <c r="L861" s="1"/>
      <c r="M861" s="1">
        <v>0</v>
      </c>
    </row>
    <row r="862" spans="1:13" ht="12">
      <c r="A862" s="93">
        <v>18</v>
      </c>
      <c r="C862" s="95"/>
      <c r="D862" s="95"/>
      <c r="E862" s="93">
        <v>18</v>
      </c>
      <c r="F862" s="13"/>
      <c r="G862" s="13"/>
      <c r="H862" s="1">
        <v>0</v>
      </c>
      <c r="I862" s="1"/>
      <c r="J862" s="1">
        <v>0</v>
      </c>
      <c r="K862" s="1"/>
      <c r="L862" s="1"/>
      <c r="M862" s="1">
        <v>0</v>
      </c>
    </row>
    <row r="863" spans="1:13" ht="12">
      <c r="A863" s="93"/>
      <c r="C863" s="128"/>
      <c r="D863" s="95"/>
      <c r="E863" s="93"/>
      <c r="F863" s="90" t="s">
        <v>1</v>
      </c>
      <c r="G863" s="90"/>
      <c r="H863" s="90"/>
      <c r="I863" s="22" t="s">
        <v>1</v>
      </c>
      <c r="J863" s="23"/>
      <c r="K863" s="90"/>
      <c r="L863" s="22"/>
      <c r="M863" s="23"/>
    </row>
    <row r="864" spans="1:13" ht="12">
      <c r="A864" s="93">
        <v>19</v>
      </c>
      <c r="C864" s="7" t="s">
        <v>159</v>
      </c>
      <c r="D864" s="95"/>
      <c r="E864" s="93">
        <v>19</v>
      </c>
      <c r="H864" s="100">
        <f>SUM(H855:H862)</f>
        <v>13456992</v>
      </c>
      <c r="I864" s="100"/>
      <c r="J864" s="100">
        <f>SUM(J855:J862)</f>
        <v>14953444</v>
      </c>
      <c r="K864" s="1"/>
      <c r="L864" s="1"/>
      <c r="M864" s="100">
        <f>SUM(M855:M862)</f>
        <v>12729685</v>
      </c>
    </row>
    <row r="865" spans="1:13" ht="12">
      <c r="A865" s="93"/>
      <c r="C865" s="128"/>
      <c r="D865" s="95"/>
      <c r="E865" s="93"/>
      <c r="F865" s="90" t="s">
        <v>1</v>
      </c>
      <c r="G865" s="90"/>
      <c r="H865" s="90"/>
      <c r="I865" s="22" t="s">
        <v>1</v>
      </c>
      <c r="J865" s="23"/>
      <c r="K865" s="90"/>
      <c r="L865" s="22"/>
      <c r="M865" s="23"/>
    </row>
    <row r="866" spans="1:10" ht="12">
      <c r="A866" s="93"/>
      <c r="C866" s="95"/>
      <c r="D866" s="95"/>
      <c r="E866" s="93"/>
      <c r="J866" s="15"/>
    </row>
    <row r="867" spans="1:13" ht="15.75" customHeight="1">
      <c r="A867" s="93">
        <v>20</v>
      </c>
      <c r="C867" s="12" t="s">
        <v>242</v>
      </c>
      <c r="E867" s="93">
        <v>20</v>
      </c>
      <c r="H867" s="100">
        <f>SUM(H853,H864)</f>
        <v>16230137</v>
      </c>
      <c r="I867" s="101"/>
      <c r="J867" s="100">
        <f>SUM(J853,J864)</f>
        <v>17065775</v>
      </c>
      <c r="K867" s="100"/>
      <c r="L867" s="101"/>
      <c r="M867" s="100">
        <f>SUM(M853,M864)</f>
        <v>15301067</v>
      </c>
    </row>
    <row r="868" spans="3:13" ht="15.75" customHeight="1">
      <c r="C868" s="33" t="s">
        <v>88</v>
      </c>
      <c r="E868" s="50"/>
      <c r="F868" s="90" t="s">
        <v>1</v>
      </c>
      <c r="G868" s="90"/>
      <c r="H868" s="90"/>
      <c r="I868" s="22" t="s">
        <v>1</v>
      </c>
      <c r="J868" s="23"/>
      <c r="K868" s="90"/>
      <c r="L868" s="22"/>
      <c r="M868" s="23"/>
    </row>
    <row r="869" ht="12">
      <c r="C869" s="12" t="s">
        <v>0</v>
      </c>
    </row>
    <row r="870" ht="12">
      <c r="D870" s="25"/>
    </row>
    <row r="871" spans="1:13" s="46" customFormat="1" ht="12">
      <c r="A871" s="19" t="str">
        <f>$A$36</f>
        <v>Institution No.:  GFD</v>
      </c>
      <c r="D871" s="126"/>
      <c r="F871" s="51"/>
      <c r="G871" s="51"/>
      <c r="H871" s="51"/>
      <c r="I871" s="52"/>
      <c r="J871" s="53"/>
      <c r="L871" s="129"/>
      <c r="M871" s="91" t="s">
        <v>99</v>
      </c>
    </row>
    <row r="872" spans="1:13" s="46" customFormat="1" ht="12.75" customHeight="1">
      <c r="A872" s="261" t="s">
        <v>157</v>
      </c>
      <c r="B872" s="261"/>
      <c r="C872" s="261"/>
      <c r="D872" s="261"/>
      <c r="E872" s="261"/>
      <c r="F872" s="261"/>
      <c r="G872" s="261"/>
      <c r="H872" s="261"/>
      <c r="I872" s="261"/>
      <c r="J872" s="261"/>
      <c r="K872" s="261"/>
      <c r="L872" s="261"/>
      <c r="M872" s="261"/>
    </row>
    <row r="873" spans="1:13" ht="12">
      <c r="A873" s="19" t="s">
        <v>664</v>
      </c>
      <c r="C873" s="7" t="s">
        <v>665</v>
      </c>
      <c r="D873" s="269"/>
      <c r="E873" s="269"/>
      <c r="F873" s="269"/>
      <c r="G873" s="130"/>
      <c r="H873" s="130"/>
      <c r="M873" s="20" t="str">
        <f>$M$3</f>
        <v>Date: 10/1/2008</v>
      </c>
    </row>
    <row r="874" spans="1:13" ht="12">
      <c r="A874" s="21" t="s">
        <v>1</v>
      </c>
      <c r="B874" s="21" t="s">
        <v>1</v>
      </c>
      <c r="C874" s="21" t="s">
        <v>1</v>
      </c>
      <c r="D874" s="21" t="s">
        <v>1</v>
      </c>
      <c r="E874" s="21" t="s">
        <v>1</v>
      </c>
      <c r="F874" s="21" t="s">
        <v>1</v>
      </c>
      <c r="G874" s="21"/>
      <c r="H874" s="21"/>
      <c r="I874" s="22" t="s">
        <v>1</v>
      </c>
      <c r="J874" s="23" t="s">
        <v>1</v>
      </c>
      <c r="K874" s="21" t="s">
        <v>1</v>
      </c>
      <c r="L874" s="22" t="s">
        <v>1</v>
      </c>
      <c r="M874" s="23" t="s">
        <v>1</v>
      </c>
    </row>
    <row r="875" spans="1:13" ht="12">
      <c r="A875" s="24" t="s">
        <v>2</v>
      </c>
      <c r="D875" s="25"/>
      <c r="E875" s="24" t="s">
        <v>2</v>
      </c>
      <c r="F875" s="25"/>
      <c r="G875" s="273" t="s">
        <v>290</v>
      </c>
      <c r="H875" s="273"/>
      <c r="I875" s="273" t="s">
        <v>252</v>
      </c>
      <c r="J875" s="273"/>
      <c r="K875" s="25"/>
      <c r="L875" s="273" t="s">
        <v>269</v>
      </c>
      <c r="M875" s="273"/>
    </row>
    <row r="876" spans="1:13" ht="12">
      <c r="A876" s="24" t="s">
        <v>4</v>
      </c>
      <c r="C876" s="12" t="s">
        <v>100</v>
      </c>
      <c r="D876" s="25" t="s">
        <v>101</v>
      </c>
      <c r="E876" s="24" t="s">
        <v>4</v>
      </c>
      <c r="F876" s="25"/>
      <c r="G876" s="26" t="s">
        <v>92</v>
      </c>
      <c r="H876" s="27" t="s">
        <v>93</v>
      </c>
      <c r="I876" s="26" t="s">
        <v>92</v>
      </c>
      <c r="J876" s="27" t="s">
        <v>93</v>
      </c>
      <c r="K876" s="25"/>
      <c r="L876" s="26" t="s">
        <v>92</v>
      </c>
      <c r="M876" s="27" t="s">
        <v>93</v>
      </c>
    </row>
    <row r="877" spans="3:13" ht="12">
      <c r="C877" s="7" t="s">
        <v>102</v>
      </c>
      <c r="D877" s="25" t="s">
        <v>103</v>
      </c>
      <c r="E877" s="25"/>
      <c r="F877" s="25"/>
      <c r="G877" s="26" t="s">
        <v>94</v>
      </c>
      <c r="H877" s="27" t="s">
        <v>95</v>
      </c>
      <c r="I877" s="26" t="s">
        <v>94</v>
      </c>
      <c r="J877" s="27" t="s">
        <v>95</v>
      </c>
      <c r="K877" s="25"/>
      <c r="L877" s="26" t="s">
        <v>94</v>
      </c>
      <c r="M877" s="27" t="s">
        <v>95</v>
      </c>
    </row>
    <row r="878" spans="1:13" ht="12">
      <c r="A878" s="21" t="s">
        <v>1</v>
      </c>
      <c r="B878" s="21" t="s">
        <v>1</v>
      </c>
      <c r="C878" s="21" t="s">
        <v>1</v>
      </c>
      <c r="D878" s="21" t="s">
        <v>1</v>
      </c>
      <c r="E878" s="21" t="s">
        <v>1</v>
      </c>
      <c r="F878" s="112" t="s">
        <v>204</v>
      </c>
      <c r="I878" s="22" t="s">
        <v>1</v>
      </c>
      <c r="J878" s="23" t="s">
        <v>1</v>
      </c>
      <c r="K878" s="21" t="s">
        <v>1</v>
      </c>
      <c r="L878" s="22" t="s">
        <v>1</v>
      </c>
      <c r="M878" s="23" t="s">
        <v>1</v>
      </c>
    </row>
    <row r="879" spans="1:13" ht="12">
      <c r="A879" s="21"/>
      <c r="B879" s="21"/>
      <c r="D879" s="28"/>
      <c r="E879" s="21"/>
      <c r="I879" s="22"/>
      <c r="J879" s="23"/>
      <c r="K879" s="90"/>
      <c r="L879" s="22"/>
      <c r="M879" s="23"/>
    </row>
    <row r="880" spans="1:13" ht="12">
      <c r="A880" s="11">
        <v>1</v>
      </c>
      <c r="C880" s="131" t="s">
        <v>96</v>
      </c>
      <c r="D880" s="132"/>
      <c r="E880" s="11">
        <v>1</v>
      </c>
      <c r="F880" s="133"/>
      <c r="G880" s="102"/>
      <c r="H880" s="102"/>
      <c r="I880" s="102"/>
      <c r="J880" s="102"/>
      <c r="K880" s="102"/>
      <c r="L880" s="102"/>
      <c r="M880" s="102"/>
    </row>
    <row r="881" spans="1:13" ht="24">
      <c r="A881" s="11">
        <f aca="true" t="shared" si="17" ref="A881:A903">(A880+1)</f>
        <v>2</v>
      </c>
      <c r="C881" s="205" t="s">
        <v>669</v>
      </c>
      <c r="D881" s="132"/>
      <c r="E881" s="11">
        <f aca="true" t="shared" si="18" ref="E881:E903">(E880+1)</f>
        <v>2</v>
      </c>
      <c r="F881" s="133"/>
      <c r="G881" s="102"/>
      <c r="H881" s="102"/>
      <c r="I881" s="102"/>
      <c r="J881" s="102">
        <v>36500000</v>
      </c>
      <c r="K881" s="102"/>
      <c r="L881" s="102"/>
      <c r="M881" s="102">
        <v>39550000</v>
      </c>
    </row>
    <row r="882" spans="1:13" ht="12">
      <c r="A882" s="11">
        <f t="shared" si="17"/>
        <v>3</v>
      </c>
      <c r="C882" s="205" t="s">
        <v>670</v>
      </c>
      <c r="D882" s="132"/>
      <c r="E882" s="11">
        <f t="shared" si="18"/>
        <v>3</v>
      </c>
      <c r="F882" s="133"/>
      <c r="G882" s="102"/>
      <c r="H882" s="102"/>
      <c r="I882" s="102"/>
      <c r="J882" s="102"/>
      <c r="K882" s="102"/>
      <c r="L882" s="102">
        <v>63619180</v>
      </c>
      <c r="M882" s="102">
        <v>22227526</v>
      </c>
    </row>
    <row r="883" spans="1:11" ht="12">
      <c r="A883" s="11">
        <f t="shared" si="17"/>
        <v>4</v>
      </c>
      <c r="C883" s="254" t="s">
        <v>678</v>
      </c>
      <c r="E883" s="11">
        <f t="shared" si="18"/>
        <v>4</v>
      </c>
      <c r="F883" s="133"/>
      <c r="G883" s="102"/>
      <c r="H883" s="102"/>
      <c r="I883" s="102"/>
      <c r="J883" s="102">
        <v>17100000</v>
      </c>
      <c r="K883" s="102"/>
    </row>
    <row r="884" spans="1:13" ht="12">
      <c r="A884" s="11">
        <f t="shared" si="17"/>
        <v>5</v>
      </c>
      <c r="C884" s="95" t="s">
        <v>681</v>
      </c>
      <c r="D884" s="134"/>
      <c r="E884" s="11">
        <f t="shared" si="18"/>
        <v>5</v>
      </c>
      <c r="F884" s="133"/>
      <c r="G884" s="102"/>
      <c r="H884" s="102">
        <v>5695269</v>
      </c>
      <c r="I884" s="102"/>
      <c r="J884" s="102"/>
      <c r="K884" s="102"/>
      <c r="L884" s="102"/>
      <c r="M884" s="102"/>
    </row>
    <row r="885" spans="1:13" ht="12">
      <c r="A885" s="11">
        <f t="shared" si="17"/>
        <v>6</v>
      </c>
      <c r="C885" s="95"/>
      <c r="D885" s="134"/>
      <c r="E885" s="11">
        <f t="shared" si="18"/>
        <v>6</v>
      </c>
      <c r="F885" s="133"/>
      <c r="G885" s="102"/>
      <c r="H885" s="102"/>
      <c r="I885" s="102"/>
      <c r="J885" s="102"/>
      <c r="K885" s="102"/>
      <c r="L885" s="102"/>
      <c r="M885" s="102"/>
    </row>
    <row r="886" spans="1:13" ht="12">
      <c r="A886" s="11">
        <f t="shared" si="17"/>
        <v>7</v>
      </c>
      <c r="C886" s="95"/>
      <c r="D886" s="132"/>
      <c r="E886" s="11">
        <f t="shared" si="18"/>
        <v>7</v>
      </c>
      <c r="F886" s="133"/>
      <c r="G886" s="102"/>
      <c r="H886" s="102"/>
      <c r="I886" s="102"/>
      <c r="J886" s="102"/>
      <c r="K886" s="102"/>
      <c r="L886" s="102"/>
      <c r="M886" s="102"/>
    </row>
    <row r="887" spans="1:13" ht="12">
      <c r="A887" s="11">
        <f t="shared" si="17"/>
        <v>8</v>
      </c>
      <c r="C887" s="95"/>
      <c r="D887" s="135"/>
      <c r="E887" s="11">
        <f t="shared" si="18"/>
        <v>8</v>
      </c>
      <c r="F887" s="133"/>
      <c r="G887" s="102"/>
      <c r="H887" s="102"/>
      <c r="I887" s="102"/>
      <c r="J887" s="102"/>
      <c r="K887" s="102"/>
      <c r="L887" s="102"/>
      <c r="M887" s="102"/>
    </row>
    <row r="888" spans="1:13" ht="12">
      <c r="A888" s="11">
        <f t="shared" si="17"/>
        <v>9</v>
      </c>
      <c r="C888" s="95"/>
      <c r="D888" s="134"/>
      <c r="E888" s="11">
        <f t="shared" si="18"/>
        <v>9</v>
      </c>
      <c r="F888" s="133"/>
      <c r="G888" s="102"/>
      <c r="H888" s="102"/>
      <c r="I888" s="102"/>
      <c r="J888" s="102"/>
      <c r="K888" s="102"/>
      <c r="L888" s="102"/>
      <c r="M888" s="102"/>
    </row>
    <row r="889" spans="1:13" ht="12">
      <c r="A889" s="11">
        <f t="shared" si="17"/>
        <v>10</v>
      </c>
      <c r="C889" s="95"/>
      <c r="D889" s="134"/>
      <c r="E889" s="11">
        <f t="shared" si="18"/>
        <v>10</v>
      </c>
      <c r="F889" s="133"/>
      <c r="G889" s="102"/>
      <c r="H889" s="102"/>
      <c r="I889" s="102"/>
      <c r="J889" s="102"/>
      <c r="K889" s="102"/>
      <c r="L889" s="102"/>
      <c r="M889" s="102"/>
    </row>
    <row r="890" spans="1:13" ht="12">
      <c r="A890" s="11">
        <f t="shared" si="17"/>
        <v>11</v>
      </c>
      <c r="C890" s="95"/>
      <c r="D890" s="132"/>
      <c r="E890" s="11">
        <f t="shared" si="18"/>
        <v>11</v>
      </c>
      <c r="F890" s="133"/>
      <c r="G890" s="102"/>
      <c r="H890" s="102"/>
      <c r="I890" s="102"/>
      <c r="J890" s="102"/>
      <c r="K890" s="102"/>
      <c r="L890" s="102"/>
      <c r="M890" s="102"/>
    </row>
    <row r="891" spans="1:13" ht="12">
      <c r="A891" s="11">
        <f t="shared" si="17"/>
        <v>12</v>
      </c>
      <c r="C891" s="94"/>
      <c r="D891" s="135"/>
      <c r="E891" s="11">
        <f t="shared" si="18"/>
        <v>12</v>
      </c>
      <c r="F891" s="133"/>
      <c r="G891" s="102"/>
      <c r="H891" s="102"/>
      <c r="I891" s="102"/>
      <c r="J891" s="102"/>
      <c r="K891" s="102"/>
      <c r="L891" s="102"/>
      <c r="M891" s="102"/>
    </row>
    <row r="892" spans="1:13" ht="12">
      <c r="A892" s="11">
        <f t="shared" si="17"/>
        <v>13</v>
      </c>
      <c r="C892" s="95"/>
      <c r="D892" s="135"/>
      <c r="E892" s="11">
        <f t="shared" si="18"/>
        <v>13</v>
      </c>
      <c r="F892" s="133"/>
      <c r="G892" s="102"/>
      <c r="H892" s="102"/>
      <c r="I892" s="102"/>
      <c r="J892" s="102"/>
      <c r="K892" s="102"/>
      <c r="L892" s="102"/>
      <c r="M892" s="102"/>
    </row>
    <row r="893" spans="1:13" ht="12">
      <c r="A893" s="11">
        <f t="shared" si="17"/>
        <v>14</v>
      </c>
      <c r="C893" s="95"/>
      <c r="D893" s="132"/>
      <c r="E893" s="11">
        <f t="shared" si="18"/>
        <v>14</v>
      </c>
      <c r="F893" s="133"/>
      <c r="G893" s="102"/>
      <c r="H893" s="102"/>
      <c r="I893" s="98"/>
      <c r="J893" s="98"/>
      <c r="K893" s="102"/>
      <c r="L893" s="102"/>
      <c r="M893" s="102"/>
    </row>
    <row r="894" spans="1:13" ht="12">
      <c r="A894" s="11">
        <f t="shared" si="17"/>
        <v>15</v>
      </c>
      <c r="C894" s="95"/>
      <c r="D894" s="135"/>
      <c r="E894" s="11">
        <f t="shared" si="18"/>
        <v>15</v>
      </c>
      <c r="F894" s="133"/>
      <c r="G894" s="102"/>
      <c r="H894" s="102"/>
      <c r="I894" s="98"/>
      <c r="J894" s="98"/>
      <c r="K894" s="102"/>
      <c r="L894" s="102"/>
      <c r="M894" s="102"/>
    </row>
    <row r="895" spans="1:13" ht="12">
      <c r="A895" s="11">
        <f t="shared" si="17"/>
        <v>16</v>
      </c>
      <c r="C895" s="128"/>
      <c r="D895" s="134"/>
      <c r="E895" s="11">
        <f t="shared" si="18"/>
        <v>16</v>
      </c>
      <c r="F895" s="133"/>
      <c r="G895" s="102"/>
      <c r="H895" s="102"/>
      <c r="I895" s="98"/>
      <c r="J895" s="98"/>
      <c r="K895" s="98"/>
      <c r="L895" s="98"/>
      <c r="M895" s="98"/>
    </row>
    <row r="896" spans="1:13" ht="12">
      <c r="A896" s="11">
        <f t="shared" si="17"/>
        <v>17</v>
      </c>
      <c r="C896" s="128" t="s">
        <v>97</v>
      </c>
      <c r="D896" s="134"/>
      <c r="E896" s="11">
        <f t="shared" si="18"/>
        <v>17</v>
      </c>
      <c r="F896" s="133"/>
      <c r="G896" s="102"/>
      <c r="H896" s="102"/>
      <c r="I896" s="98"/>
      <c r="J896" s="98"/>
      <c r="K896" s="98"/>
      <c r="L896" s="98"/>
      <c r="M896" s="98"/>
    </row>
    <row r="897" spans="1:13" ht="12">
      <c r="A897" s="11">
        <f t="shared" si="17"/>
        <v>18</v>
      </c>
      <c r="C897" s="255" t="s">
        <v>667</v>
      </c>
      <c r="D897" s="134"/>
      <c r="E897" s="11">
        <f t="shared" si="18"/>
        <v>18</v>
      </c>
      <c r="F897" s="133"/>
      <c r="G897" s="102"/>
      <c r="H897" s="102"/>
      <c r="I897" s="98"/>
      <c r="J897" s="98"/>
      <c r="K897" s="98"/>
      <c r="L897" s="98">
        <v>810260</v>
      </c>
      <c r="M897" s="98"/>
    </row>
    <row r="898" spans="1:13" ht="12">
      <c r="A898" s="11">
        <f t="shared" si="17"/>
        <v>19</v>
      </c>
      <c r="C898" s="95" t="s">
        <v>668</v>
      </c>
      <c r="D898" s="134"/>
      <c r="E898" s="11">
        <f t="shared" si="18"/>
        <v>19</v>
      </c>
      <c r="F898" s="133"/>
      <c r="G898" s="102"/>
      <c r="H898" s="102"/>
      <c r="I898" s="102"/>
      <c r="J898" s="102"/>
      <c r="K898" s="102"/>
      <c r="L898" s="102">
        <v>949467</v>
      </c>
      <c r="M898" s="102"/>
    </row>
    <row r="899" spans="1:13" ht="12">
      <c r="A899" s="11">
        <f t="shared" si="17"/>
        <v>20</v>
      </c>
      <c r="C899" s="256" t="s">
        <v>677</v>
      </c>
      <c r="D899" s="134"/>
      <c r="E899" s="11">
        <f t="shared" si="18"/>
        <v>20</v>
      </c>
      <c r="F899" s="133"/>
      <c r="G899" s="102"/>
      <c r="H899" s="102"/>
      <c r="I899" s="98">
        <v>738255</v>
      </c>
      <c r="J899" s="98"/>
      <c r="K899" s="98"/>
      <c r="L899" s="102"/>
      <c r="M899" s="102"/>
    </row>
    <row r="900" spans="1:13" ht="12">
      <c r="A900" s="11">
        <f t="shared" si="17"/>
        <v>21</v>
      </c>
      <c r="C900" s="256" t="s">
        <v>677</v>
      </c>
      <c r="D900" s="134"/>
      <c r="E900" s="11">
        <f t="shared" si="18"/>
        <v>21</v>
      </c>
      <c r="G900" s="102">
        <v>624065</v>
      </c>
      <c r="H900" s="102"/>
      <c r="I900" s="102"/>
      <c r="J900" s="102"/>
      <c r="K900" s="102"/>
      <c r="L900" s="102"/>
      <c r="M900" s="102"/>
    </row>
    <row r="901" spans="1:13" ht="12">
      <c r="A901" s="11">
        <f t="shared" si="17"/>
        <v>22</v>
      </c>
      <c r="C901" s="13"/>
      <c r="D901" s="134"/>
      <c r="E901" s="11">
        <f t="shared" si="18"/>
        <v>22</v>
      </c>
      <c r="G901" s="102"/>
      <c r="H901" s="102"/>
      <c r="I901" s="102"/>
      <c r="J901" s="102"/>
      <c r="K901" s="102"/>
      <c r="L901" s="102"/>
      <c r="M901" s="102"/>
    </row>
    <row r="902" spans="1:13" ht="12">
      <c r="A902" s="11">
        <f t="shared" si="17"/>
        <v>23</v>
      </c>
      <c r="D902" s="134"/>
      <c r="E902" s="11">
        <f t="shared" si="18"/>
        <v>23</v>
      </c>
      <c r="F902" s="133"/>
      <c r="G902" s="102"/>
      <c r="H902" s="102"/>
      <c r="I902" s="102"/>
      <c r="J902" s="102"/>
      <c r="K902" s="102"/>
      <c r="L902" s="102"/>
      <c r="M902" s="102"/>
    </row>
    <row r="903" spans="1:13" ht="12">
      <c r="A903" s="11">
        <f t="shared" si="17"/>
        <v>24</v>
      </c>
      <c r="D903" s="134"/>
      <c r="E903" s="11">
        <f t="shared" si="18"/>
        <v>24</v>
      </c>
      <c r="F903" s="133"/>
      <c r="G903" s="102"/>
      <c r="H903" s="102"/>
      <c r="I903" s="102"/>
      <c r="J903" s="102"/>
      <c r="K903" s="98"/>
      <c r="L903" s="98"/>
      <c r="M903" s="102"/>
    </row>
    <row r="904" spans="1:13" ht="12">
      <c r="A904" s="7">
        <v>25</v>
      </c>
      <c r="D904" s="134"/>
      <c r="E904" s="7">
        <v>25</v>
      </c>
      <c r="F904" s="133"/>
      <c r="G904" s="102"/>
      <c r="H904" s="102"/>
      <c r="I904" s="100"/>
      <c r="J904" s="100"/>
      <c r="K904" s="98"/>
      <c r="L904" s="102"/>
      <c r="M904" s="102"/>
    </row>
    <row r="905" spans="3:13" ht="12">
      <c r="C905" s="13"/>
      <c r="D905" s="134"/>
      <c r="I905" s="14"/>
      <c r="J905" s="15"/>
      <c r="K905" s="136"/>
      <c r="L905" s="14"/>
      <c r="M905" s="15"/>
    </row>
    <row r="906" spans="4:13" ht="12" customHeight="1">
      <c r="D906" s="135"/>
      <c r="E906" s="137"/>
      <c r="F906" s="21" t="s">
        <v>1</v>
      </c>
      <c r="G906" s="21"/>
      <c r="H906" s="21"/>
      <c r="I906" s="22" t="s">
        <v>1</v>
      </c>
      <c r="J906" s="23" t="s">
        <v>1</v>
      </c>
      <c r="K906" s="138" t="s">
        <v>1</v>
      </c>
      <c r="L906" s="22" t="s">
        <v>1</v>
      </c>
      <c r="M906" s="23" t="s">
        <v>1</v>
      </c>
    </row>
    <row r="907" spans="1:13" ht="12" customHeight="1">
      <c r="A907" s="11">
        <v>26</v>
      </c>
      <c r="C907" s="12" t="s">
        <v>98</v>
      </c>
      <c r="D907" s="132"/>
      <c r="E907" s="11">
        <v>26</v>
      </c>
      <c r="G907" s="100">
        <f>SUM(G879:G905)</f>
        <v>624065</v>
      </c>
      <c r="H907" s="100">
        <f>SUM(H879:H905)</f>
        <v>5695269</v>
      </c>
      <c r="I907" s="100">
        <f>SUM(I879:I905)</f>
        <v>738255</v>
      </c>
      <c r="J907" s="100">
        <f>SUM(J879:J905)</f>
        <v>53600000</v>
      </c>
      <c r="K907" s="100"/>
      <c r="L907" s="100">
        <f>SUM(L879:L905)</f>
        <v>65378907</v>
      </c>
      <c r="M907" s="100">
        <f>SUM(M879:M905)</f>
        <v>61777526</v>
      </c>
    </row>
    <row r="908" spans="4:13" ht="12" customHeight="1">
      <c r="D908" s="135"/>
      <c r="E908" s="137"/>
      <c r="F908" s="21" t="s">
        <v>1</v>
      </c>
      <c r="G908" s="21"/>
      <c r="H908" s="21"/>
      <c r="I908" s="22" t="s">
        <v>1</v>
      </c>
      <c r="J908" s="23" t="s">
        <v>1</v>
      </c>
      <c r="K908" s="138" t="s">
        <v>1</v>
      </c>
      <c r="L908" s="22" t="s">
        <v>1</v>
      </c>
      <c r="M908" s="23" t="s">
        <v>1</v>
      </c>
    </row>
    <row r="909" spans="4:13" ht="12" customHeight="1">
      <c r="D909" s="135"/>
      <c r="E909" s="90"/>
      <c r="F909" s="50"/>
      <c r="G909" s="50"/>
      <c r="H909" s="50"/>
      <c r="I909" s="22"/>
      <c r="J909" s="23"/>
      <c r="K909" s="138"/>
      <c r="L909" s="22"/>
      <c r="M909" s="23"/>
    </row>
    <row r="910" spans="4:13" ht="12" customHeight="1">
      <c r="D910" s="135"/>
      <c r="E910" s="90"/>
      <c r="F910" s="50"/>
      <c r="G910" s="50"/>
      <c r="H910" s="50"/>
      <c r="I910" s="22"/>
      <c r="J910" s="23"/>
      <c r="K910" s="138"/>
      <c r="L910" s="22"/>
      <c r="M910" s="23"/>
    </row>
    <row r="911" spans="4:13" ht="12" customHeight="1">
      <c r="D911" s="135"/>
      <c r="E911" s="90"/>
      <c r="F911" s="50"/>
      <c r="G911" s="50"/>
      <c r="H911" s="50"/>
      <c r="I911" s="22"/>
      <c r="J911" s="23"/>
      <c r="K911" s="138"/>
      <c r="L911" s="22"/>
      <c r="M911" s="23"/>
    </row>
    <row r="912" spans="4:13" ht="12" customHeight="1">
      <c r="D912" s="135"/>
      <c r="E912" s="90"/>
      <c r="F912" s="50"/>
      <c r="G912" s="50"/>
      <c r="H912" s="50"/>
      <c r="I912" s="22"/>
      <c r="J912" s="23"/>
      <c r="K912" s="138"/>
      <c r="L912" s="22"/>
      <c r="M912" s="23"/>
    </row>
    <row r="913" spans="4:13" ht="12" customHeight="1">
      <c r="D913" s="135"/>
      <c r="E913" s="90"/>
      <c r="F913" s="50"/>
      <c r="G913" s="50"/>
      <c r="H913" s="50"/>
      <c r="I913" s="22"/>
      <c r="J913" s="23"/>
      <c r="K913" s="138"/>
      <c r="L913" s="22"/>
      <c r="M913" s="23"/>
    </row>
    <row r="914" spans="4:13" ht="12" customHeight="1">
      <c r="D914" s="135"/>
      <c r="E914" s="90"/>
      <c r="F914" s="50"/>
      <c r="G914" s="50"/>
      <c r="H914" s="50"/>
      <c r="I914" s="22"/>
      <c r="J914" s="23"/>
      <c r="K914" s="138"/>
      <c r="L914" s="22"/>
      <c r="M914" s="23"/>
    </row>
    <row r="915" spans="4:13" ht="12" customHeight="1">
      <c r="D915" s="135"/>
      <c r="E915" s="90"/>
      <c r="F915" s="50"/>
      <c r="G915" s="50"/>
      <c r="H915" s="50"/>
      <c r="I915" s="22"/>
      <c r="J915" s="23"/>
      <c r="K915" s="138"/>
      <c r="L915" s="22"/>
      <c r="M915" s="23"/>
    </row>
    <row r="916" spans="4:13" ht="12" customHeight="1">
      <c r="D916" s="135"/>
      <c r="E916" s="90"/>
      <c r="F916" s="50"/>
      <c r="G916" s="50"/>
      <c r="H916" s="50"/>
      <c r="I916" s="22"/>
      <c r="J916" s="23"/>
      <c r="K916" s="138"/>
      <c r="L916" s="22"/>
      <c r="M916" s="23"/>
    </row>
    <row r="917" spans="4:13" ht="12" customHeight="1">
      <c r="D917" s="135"/>
      <c r="E917" s="90"/>
      <c r="F917" s="50"/>
      <c r="G917" s="50"/>
      <c r="H917" s="50"/>
      <c r="I917" s="22"/>
      <c r="J917" s="23"/>
      <c r="K917" s="138"/>
      <c r="L917" s="22"/>
      <c r="M917" s="23"/>
    </row>
    <row r="918" spans="4:13" ht="12" customHeight="1">
      <c r="D918" s="135"/>
      <c r="E918" s="90"/>
      <c r="F918" s="50"/>
      <c r="G918" s="50"/>
      <c r="H918" s="50"/>
      <c r="I918" s="22"/>
      <c r="J918" s="23"/>
      <c r="K918" s="138"/>
      <c r="L918" s="22"/>
      <c r="M918" s="23"/>
    </row>
    <row r="919" spans="4:13" ht="12" customHeight="1">
      <c r="D919" s="135"/>
      <c r="E919" s="90"/>
      <c r="F919" s="50"/>
      <c r="G919" s="50"/>
      <c r="H919" s="50"/>
      <c r="I919" s="22"/>
      <c r="J919" s="23"/>
      <c r="K919" s="138"/>
      <c r="L919" s="22"/>
      <c r="M919" s="23"/>
    </row>
    <row r="920" spans="4:13" ht="12" customHeight="1">
      <c r="D920" s="135"/>
      <c r="E920" s="90"/>
      <c r="F920" s="50"/>
      <c r="G920" s="50"/>
      <c r="H920" s="50"/>
      <c r="I920" s="22"/>
      <c r="J920" s="23"/>
      <c r="K920" s="138"/>
      <c r="L920" s="22"/>
      <c r="M920" s="23"/>
    </row>
    <row r="921" spans="4:13" ht="12" customHeight="1">
      <c r="D921" s="135"/>
      <c r="E921" s="90"/>
      <c r="F921" s="50"/>
      <c r="G921" s="50"/>
      <c r="H921" s="50"/>
      <c r="I921" s="22"/>
      <c r="J921" s="23"/>
      <c r="K921" s="138"/>
      <c r="L921" s="22"/>
      <c r="M921" s="23"/>
    </row>
    <row r="922" spans="4:13" ht="12" customHeight="1">
      <c r="D922" s="135"/>
      <c r="E922" s="90"/>
      <c r="F922" s="50"/>
      <c r="G922" s="50"/>
      <c r="H922" s="50"/>
      <c r="I922" s="22"/>
      <c r="J922" s="23"/>
      <c r="K922" s="138"/>
      <c r="L922" s="22"/>
      <c r="M922" s="23"/>
    </row>
    <row r="923" spans="4:13" ht="12" customHeight="1">
      <c r="D923" s="135"/>
      <c r="E923" s="90"/>
      <c r="F923" s="50"/>
      <c r="G923" s="50"/>
      <c r="H923" s="50"/>
      <c r="I923" s="22"/>
      <c r="J923" s="23"/>
      <c r="K923" s="138"/>
      <c r="L923" s="22"/>
      <c r="M923" s="23"/>
    </row>
    <row r="924" spans="4:13" ht="12" customHeight="1">
      <c r="D924" s="135"/>
      <c r="E924" s="90"/>
      <c r="F924" s="50"/>
      <c r="G924" s="50"/>
      <c r="H924" s="50"/>
      <c r="I924" s="22"/>
      <c r="J924" s="23"/>
      <c r="K924" s="138"/>
      <c r="L924" s="22"/>
      <c r="M924" s="23"/>
    </row>
    <row r="925" spans="4:13" ht="12" customHeight="1">
      <c r="D925" s="135"/>
      <c r="E925" s="90"/>
      <c r="F925" s="50"/>
      <c r="G925" s="50"/>
      <c r="H925" s="50"/>
      <c r="I925" s="22"/>
      <c r="J925" s="23"/>
      <c r="K925" s="138"/>
      <c r="L925" s="22"/>
      <c r="M925" s="23"/>
    </row>
    <row r="926" spans="4:13" ht="12" customHeight="1">
      <c r="D926" s="135"/>
      <c r="E926" s="90"/>
      <c r="F926" s="50"/>
      <c r="G926" s="50"/>
      <c r="H926" s="50"/>
      <c r="I926" s="22"/>
      <c r="J926" s="23"/>
      <c r="K926" s="138"/>
      <c r="L926" s="22"/>
      <c r="M926" s="23"/>
    </row>
    <row r="927" spans="4:13" ht="12" customHeight="1">
      <c r="D927" s="135"/>
      <c r="E927" s="90"/>
      <c r="F927" s="50"/>
      <c r="G927" s="50"/>
      <c r="H927" s="50"/>
      <c r="I927" s="22"/>
      <c r="J927" s="23"/>
      <c r="K927" s="138"/>
      <c r="L927" s="22"/>
      <c r="M927" s="23"/>
    </row>
    <row r="928" spans="4:13" ht="12" customHeight="1">
      <c r="D928" s="135"/>
      <c r="E928" s="90"/>
      <c r="F928" s="50"/>
      <c r="G928" s="50"/>
      <c r="H928" s="50"/>
      <c r="I928" s="22"/>
      <c r="J928" s="23"/>
      <c r="K928" s="138"/>
      <c r="L928" s="22"/>
      <c r="M928" s="23"/>
    </row>
    <row r="929" spans="4:13" ht="12" customHeight="1">
      <c r="D929" s="135"/>
      <c r="E929" s="90"/>
      <c r="F929" s="50"/>
      <c r="G929" s="50"/>
      <c r="H929" s="50"/>
      <c r="I929" s="22"/>
      <c r="J929" s="23"/>
      <c r="K929" s="138"/>
      <c r="L929" s="22"/>
      <c r="M929" s="23"/>
    </row>
    <row r="930" spans="4:13" ht="12" customHeight="1">
      <c r="D930" s="135"/>
      <c r="E930" s="90"/>
      <c r="F930" s="50"/>
      <c r="G930" s="50"/>
      <c r="H930" s="50"/>
      <c r="I930" s="22"/>
      <c r="J930" s="23"/>
      <c r="K930" s="138"/>
      <c r="L930" s="22"/>
      <c r="M930" s="23"/>
    </row>
    <row r="931" spans="4:13" ht="12" customHeight="1">
      <c r="D931" s="135"/>
      <c r="E931" s="90"/>
      <c r="F931" s="50"/>
      <c r="G931" s="50"/>
      <c r="H931" s="50"/>
      <c r="I931" s="22"/>
      <c r="J931" s="23"/>
      <c r="K931" s="138"/>
      <c r="L931" s="22"/>
      <c r="M931" s="23"/>
    </row>
    <row r="932" spans="4:13" ht="12" customHeight="1">
      <c r="D932" s="135"/>
      <c r="E932" s="90"/>
      <c r="F932" s="50"/>
      <c r="G932" s="50"/>
      <c r="H932" s="50"/>
      <c r="I932" s="22"/>
      <c r="J932" s="23"/>
      <c r="K932" s="138"/>
      <c r="L932" s="22"/>
      <c r="M932" s="23"/>
    </row>
    <row r="933" spans="4:13" ht="12" customHeight="1">
      <c r="D933" s="135"/>
      <c r="E933" s="90"/>
      <c r="F933" s="50"/>
      <c r="G933" s="50"/>
      <c r="H933" s="50"/>
      <c r="I933" s="22"/>
      <c r="J933" s="23"/>
      <c r="K933" s="138"/>
      <c r="L933" s="22"/>
      <c r="M933" s="23"/>
    </row>
    <row r="934" spans="4:13" ht="12" customHeight="1">
      <c r="D934" s="135"/>
      <c r="E934" s="90"/>
      <c r="F934" s="50"/>
      <c r="G934" s="50"/>
      <c r="H934" s="50"/>
      <c r="I934" s="22"/>
      <c r="J934" s="23"/>
      <c r="K934" s="138"/>
      <c r="L934" s="22"/>
      <c r="M934" s="23"/>
    </row>
    <row r="935" spans="4:13" ht="12" customHeight="1">
      <c r="D935" s="135"/>
      <c r="E935" s="90"/>
      <c r="F935" s="50"/>
      <c r="G935" s="50"/>
      <c r="H935" s="50"/>
      <c r="I935" s="22"/>
      <c r="J935" s="23"/>
      <c r="K935" s="138"/>
      <c r="L935" s="22"/>
      <c r="M935" s="23"/>
    </row>
    <row r="936" spans="4:13" ht="12" customHeight="1">
      <c r="D936" s="135"/>
      <c r="E936" s="90"/>
      <c r="F936" s="50"/>
      <c r="G936" s="50"/>
      <c r="H936" s="50"/>
      <c r="I936" s="22"/>
      <c r="J936" s="23"/>
      <c r="K936" s="138"/>
      <c r="L936" s="22"/>
      <c r="M936" s="23"/>
    </row>
    <row r="937" spans="4:13" ht="12" customHeight="1">
      <c r="D937" s="135"/>
      <c r="E937" s="90"/>
      <c r="F937" s="50"/>
      <c r="G937" s="50"/>
      <c r="H937" s="50"/>
      <c r="I937" s="22"/>
      <c r="J937" s="23"/>
      <c r="K937" s="138"/>
      <c r="L937" s="22"/>
      <c r="M937" s="23"/>
    </row>
    <row r="938" spans="4:13" ht="12" customHeight="1">
      <c r="D938" s="135"/>
      <c r="E938" s="90"/>
      <c r="F938" s="50"/>
      <c r="G938" s="50"/>
      <c r="H938" s="50"/>
      <c r="I938" s="22"/>
      <c r="J938" s="23"/>
      <c r="K938" s="138"/>
      <c r="L938" s="22"/>
      <c r="M938" s="23"/>
    </row>
    <row r="939" spans="4:13" ht="12" customHeight="1">
      <c r="D939" s="135"/>
      <c r="E939" s="90"/>
      <c r="F939" s="50"/>
      <c r="G939" s="50"/>
      <c r="H939" s="50"/>
      <c r="I939" s="22"/>
      <c r="J939" s="23"/>
      <c r="K939" s="138"/>
      <c r="L939" s="22"/>
      <c r="M939" s="23"/>
    </row>
    <row r="940" spans="4:13" ht="12" customHeight="1">
      <c r="D940" s="135"/>
      <c r="E940" s="90"/>
      <c r="F940" s="50"/>
      <c r="G940" s="50"/>
      <c r="H940" s="50"/>
      <c r="I940" s="22"/>
      <c r="J940" s="23"/>
      <c r="K940" s="138"/>
      <c r="L940" s="22"/>
      <c r="M940" s="23"/>
    </row>
    <row r="941" spans="4:13" ht="12" customHeight="1">
      <c r="D941" s="135"/>
      <c r="E941" s="90"/>
      <c r="F941" s="50"/>
      <c r="G941" s="50"/>
      <c r="H941" s="50"/>
      <c r="I941" s="22"/>
      <c r="J941" s="23"/>
      <c r="K941" s="138"/>
      <c r="L941" s="22"/>
      <c r="M941" s="23"/>
    </row>
    <row r="942" spans="4:13" ht="12" customHeight="1">
      <c r="D942" s="135"/>
      <c r="E942" s="90"/>
      <c r="F942" s="50"/>
      <c r="G942" s="50"/>
      <c r="H942" s="50"/>
      <c r="I942" s="22"/>
      <c r="J942" s="23"/>
      <c r="K942" s="138"/>
      <c r="L942" s="22"/>
      <c r="M942" s="23"/>
    </row>
    <row r="943" spans="4:13" ht="12" customHeight="1">
      <c r="D943" s="135"/>
      <c r="E943" s="90"/>
      <c r="F943" s="50"/>
      <c r="G943" s="50"/>
      <c r="H943" s="50"/>
      <c r="I943" s="22"/>
      <c r="J943" s="23"/>
      <c r="K943" s="138"/>
      <c r="L943" s="22"/>
      <c r="M943" s="23"/>
    </row>
    <row r="944" spans="4:13" ht="12" customHeight="1">
      <c r="D944" s="135"/>
      <c r="E944" s="90"/>
      <c r="F944" s="50"/>
      <c r="G944" s="50"/>
      <c r="H944" s="50"/>
      <c r="I944" s="22"/>
      <c r="J944" s="23"/>
      <c r="K944" s="138"/>
      <c r="L944" s="22"/>
      <c r="M944" s="23"/>
    </row>
    <row r="945" spans="4:13" ht="12" customHeight="1">
      <c r="D945" s="135"/>
      <c r="E945" s="90"/>
      <c r="F945" s="50"/>
      <c r="G945" s="50"/>
      <c r="H945" s="50"/>
      <c r="I945" s="22"/>
      <c r="J945" s="23"/>
      <c r="K945" s="138"/>
      <c r="L945" s="22"/>
      <c r="M945" s="23"/>
    </row>
    <row r="946" spans="4:13" ht="12" customHeight="1">
      <c r="D946" s="135"/>
      <c r="E946" s="90"/>
      <c r="F946" s="50"/>
      <c r="G946" s="50"/>
      <c r="H946" s="50"/>
      <c r="I946" s="22"/>
      <c r="J946" s="23"/>
      <c r="K946" s="138"/>
      <c r="L946" s="22"/>
      <c r="M946" s="23"/>
    </row>
    <row r="947" spans="4:13" ht="12" customHeight="1">
      <c r="D947" s="135"/>
      <c r="E947" s="90"/>
      <c r="F947" s="50"/>
      <c r="G947" s="50"/>
      <c r="H947" s="50"/>
      <c r="I947" s="22"/>
      <c r="J947" s="23"/>
      <c r="K947" s="138"/>
      <c r="L947" s="22"/>
      <c r="M947" s="23"/>
    </row>
    <row r="948" spans="4:13" ht="12" customHeight="1">
      <c r="D948" s="135"/>
      <c r="E948" s="90"/>
      <c r="F948" s="50"/>
      <c r="G948" s="50"/>
      <c r="H948" s="50"/>
      <c r="I948" s="22"/>
      <c r="J948" s="23"/>
      <c r="K948" s="138"/>
      <c r="L948" s="22"/>
      <c r="M948" s="23"/>
    </row>
    <row r="949" spans="4:13" ht="12" customHeight="1">
      <c r="D949" s="135"/>
      <c r="E949" s="90"/>
      <c r="F949" s="50"/>
      <c r="G949" s="50"/>
      <c r="H949" s="50"/>
      <c r="I949" s="22"/>
      <c r="J949" s="23"/>
      <c r="K949" s="138"/>
      <c r="L949" s="22"/>
      <c r="M949" s="23"/>
    </row>
    <row r="950" spans="4:13" ht="12" customHeight="1">
      <c r="D950" s="135"/>
      <c r="E950" s="90"/>
      <c r="F950" s="50"/>
      <c r="G950" s="50"/>
      <c r="H950" s="50"/>
      <c r="I950" s="22"/>
      <c r="J950" s="23"/>
      <c r="K950" s="138"/>
      <c r="L950" s="22"/>
      <c r="M950" s="23"/>
    </row>
    <row r="951" spans="4:13" ht="12" customHeight="1">
      <c r="D951" s="135"/>
      <c r="E951" s="90"/>
      <c r="F951" s="50"/>
      <c r="G951" s="50"/>
      <c r="H951" s="50"/>
      <c r="I951" s="22"/>
      <c r="J951" s="23"/>
      <c r="K951" s="138"/>
      <c r="L951" s="22"/>
      <c r="M951" s="23"/>
    </row>
    <row r="952" spans="4:13" ht="12" customHeight="1">
      <c r="D952" s="135"/>
      <c r="E952" s="90"/>
      <c r="F952" s="50"/>
      <c r="G952" s="50"/>
      <c r="H952" s="50"/>
      <c r="I952" s="22"/>
      <c r="J952" s="23"/>
      <c r="K952" s="138"/>
      <c r="L952" s="22"/>
      <c r="M952" s="23"/>
    </row>
    <row r="953" spans="4:13" ht="12">
      <c r="D953" s="12"/>
      <c r="I953" s="17"/>
      <c r="J953" s="55"/>
      <c r="K953" s="68"/>
      <c r="L953" s="17"/>
      <c r="M953" s="55"/>
    </row>
    <row r="954" spans="4:13" ht="12">
      <c r="D954" s="12"/>
      <c r="I954" s="17"/>
      <c r="J954" s="55"/>
      <c r="K954" s="68"/>
      <c r="L954" s="17"/>
      <c r="M954" s="55"/>
    </row>
    <row r="955" spans="4:13" ht="12">
      <c r="D955" s="12"/>
      <c r="I955" s="17"/>
      <c r="J955" s="55"/>
      <c r="K955" s="68"/>
      <c r="L955" s="17"/>
      <c r="M955" s="55"/>
    </row>
    <row r="956" spans="4:13" ht="12">
      <c r="D956" s="12"/>
      <c r="I956" s="17"/>
      <c r="J956" s="55"/>
      <c r="K956" s="68"/>
      <c r="L956" s="17"/>
      <c r="M956" s="55"/>
    </row>
    <row r="957" spans="4:13" ht="12">
      <c r="D957" s="12"/>
      <c r="I957" s="17"/>
      <c r="J957" s="55"/>
      <c r="K957" s="68"/>
      <c r="L957" s="17"/>
      <c r="M957" s="55"/>
    </row>
    <row r="958" spans="4:13" ht="12">
      <c r="D958" s="12"/>
      <c r="I958" s="17"/>
      <c r="J958" s="55"/>
      <c r="K958" s="68"/>
      <c r="L958" s="17"/>
      <c r="M958" s="55"/>
    </row>
    <row r="959" spans="4:13" ht="12">
      <c r="D959" s="12"/>
      <c r="I959" s="17"/>
      <c r="J959" s="55"/>
      <c r="K959" s="68"/>
      <c r="L959" s="17"/>
      <c r="M959" s="55"/>
    </row>
    <row r="960" spans="4:13" ht="12">
      <c r="D960" s="12"/>
      <c r="I960" s="17"/>
      <c r="J960" s="55"/>
      <c r="K960" s="68"/>
      <c r="L960" s="17"/>
      <c r="M960" s="55"/>
    </row>
    <row r="961" spans="4:13" ht="12">
      <c r="D961" s="12"/>
      <c r="I961" s="17"/>
      <c r="J961" s="55"/>
      <c r="K961" s="68"/>
      <c r="L961" s="17"/>
      <c r="M961" s="55"/>
    </row>
    <row r="962" spans="4:13" ht="12">
      <c r="D962" s="12"/>
      <c r="I962" s="17"/>
      <c r="J962" s="55"/>
      <c r="K962" s="68"/>
      <c r="L962" s="17"/>
      <c r="M962" s="55"/>
    </row>
    <row r="963" spans="4:13" ht="12">
      <c r="D963" s="12"/>
      <c r="I963" s="17"/>
      <c r="J963" s="55"/>
      <c r="K963" s="68"/>
      <c r="L963" s="17"/>
      <c r="M963" s="55"/>
    </row>
    <row r="964" spans="4:13" ht="12">
      <c r="D964" s="12"/>
      <c r="I964" s="17"/>
      <c r="J964" s="55"/>
      <c r="K964" s="68"/>
      <c r="L964" s="17"/>
      <c r="M964" s="55"/>
    </row>
    <row r="965" spans="4:13" ht="12">
      <c r="D965" s="12"/>
      <c r="I965" s="17"/>
      <c r="J965" s="55"/>
      <c r="K965" s="68"/>
      <c r="L965" s="17"/>
      <c r="M965" s="55"/>
    </row>
    <row r="966" spans="4:13" ht="12">
      <c r="D966" s="12"/>
      <c r="I966" s="17"/>
      <c r="J966" s="55"/>
      <c r="K966" s="68"/>
      <c r="L966" s="17"/>
      <c r="M966" s="55"/>
    </row>
    <row r="967" spans="4:13" ht="12">
      <c r="D967" s="12"/>
      <c r="I967" s="17"/>
      <c r="J967" s="55"/>
      <c r="K967" s="68"/>
      <c r="L967" s="17"/>
      <c r="M967" s="55"/>
    </row>
    <row r="968" spans="4:13" ht="12">
      <c r="D968" s="12"/>
      <c r="I968" s="17"/>
      <c r="J968" s="55"/>
      <c r="K968" s="68"/>
      <c r="L968" s="17"/>
      <c r="M968" s="55"/>
    </row>
    <row r="969" spans="4:13" ht="12">
      <c r="D969" s="12"/>
      <c r="I969" s="17"/>
      <c r="J969" s="55"/>
      <c r="K969" s="68"/>
      <c r="L969" s="17"/>
      <c r="M969" s="55"/>
    </row>
    <row r="970" spans="4:13" ht="12">
      <c r="D970" s="12"/>
      <c r="I970" s="17"/>
      <c r="J970" s="55"/>
      <c r="K970" s="68"/>
      <c r="L970" s="17"/>
      <c r="M970" s="55"/>
    </row>
    <row r="971" spans="4:13" ht="12">
      <c r="D971" s="12"/>
      <c r="I971" s="17"/>
      <c r="J971" s="55"/>
      <c r="K971" s="68"/>
      <c r="L971" s="17"/>
      <c r="M971" s="55"/>
    </row>
    <row r="972" spans="4:13" ht="12">
      <c r="D972" s="12"/>
      <c r="I972" s="17"/>
      <c r="J972" s="55"/>
      <c r="K972" s="68"/>
      <c r="L972" s="17"/>
      <c r="M972" s="55"/>
    </row>
    <row r="973" spans="4:13" ht="12">
      <c r="D973" s="12"/>
      <c r="I973" s="17"/>
      <c r="J973" s="55"/>
      <c r="K973" s="68"/>
      <c r="L973" s="17"/>
      <c r="M973" s="55"/>
    </row>
    <row r="974" spans="4:13" ht="12">
      <c r="D974" s="12"/>
      <c r="I974" s="17"/>
      <c r="J974" s="55"/>
      <c r="K974" s="68"/>
      <c r="L974" s="17"/>
      <c r="M974" s="55"/>
    </row>
    <row r="975" spans="4:13" ht="12">
      <c r="D975" s="12"/>
      <c r="I975" s="17"/>
      <c r="J975" s="55"/>
      <c r="K975" s="68"/>
      <c r="L975" s="17"/>
      <c r="M975" s="55"/>
    </row>
    <row r="976" spans="4:13" ht="12">
      <c r="D976" s="12"/>
      <c r="I976" s="17"/>
      <c r="J976" s="55"/>
      <c r="K976" s="68"/>
      <c r="L976" s="17"/>
      <c r="M976" s="55"/>
    </row>
    <row r="977" spans="4:13" ht="12">
      <c r="D977" s="12"/>
      <c r="I977" s="17"/>
      <c r="J977" s="55"/>
      <c r="K977" s="68"/>
      <c r="L977" s="17"/>
      <c r="M977" s="55"/>
    </row>
    <row r="1016" spans="4:13" ht="12">
      <c r="D1016" s="25"/>
      <c r="F1016" s="50"/>
      <c r="G1016" s="50"/>
      <c r="H1016" s="50"/>
      <c r="I1016" s="17"/>
      <c r="J1016" s="55"/>
      <c r="L1016" s="17"/>
      <c r="M1016" s="55"/>
    </row>
  </sheetData>
  <sheetProtection/>
  <mergeCells count="28">
    <mergeCell ref="A21:M21"/>
    <mergeCell ref="A5:M5"/>
    <mergeCell ref="A8:M8"/>
    <mergeCell ref="A9:M9"/>
    <mergeCell ref="A20:M20"/>
    <mergeCell ref="A527:M527"/>
    <mergeCell ref="A33:M33"/>
    <mergeCell ref="A415:M415"/>
    <mergeCell ref="A489:M489"/>
    <mergeCell ref="A78:M78"/>
    <mergeCell ref="A837:M837"/>
    <mergeCell ref="A711:M711"/>
    <mergeCell ref="A37:M37"/>
    <mergeCell ref="B224:M224"/>
    <mergeCell ref="A128:M128"/>
    <mergeCell ref="A451:M451"/>
    <mergeCell ref="A177:M177"/>
    <mergeCell ref="A564:M564"/>
    <mergeCell ref="A601:M601"/>
    <mergeCell ref="D873:F873"/>
    <mergeCell ref="G875:H875"/>
    <mergeCell ref="I875:J875"/>
    <mergeCell ref="A638:M638"/>
    <mergeCell ref="A762:M762"/>
    <mergeCell ref="L875:M875"/>
    <mergeCell ref="A675:M675"/>
    <mergeCell ref="A801:M801"/>
    <mergeCell ref="A872:M872"/>
  </mergeCells>
  <printOptions/>
  <pageMargins left="0.75" right="0.5" top="1" bottom="1" header="0.5" footer="0.24"/>
  <pageSetup fitToHeight="47" horizontalDpi="600" verticalDpi="600" orientation="landscape" scale="70" r:id="rId1"/>
  <rowBreaks count="23" manualBreakCount="23">
    <brk id="33" max="12" man="1"/>
    <brk id="75" max="12" man="1"/>
    <brk id="125" max="12" man="1"/>
    <brk id="174" max="12" man="1"/>
    <brk id="221" max="255" man="1"/>
    <brk id="270" max="12" man="1"/>
    <brk id="318" max="12" man="1"/>
    <brk id="339" max="12" man="1"/>
    <brk id="380" max="255" man="1"/>
    <brk id="412" max="12" man="1"/>
    <brk id="448" max="255" man="1"/>
    <brk id="486" max="12" man="1"/>
    <brk id="524" max="12" man="1"/>
    <brk id="561" max="12" man="1"/>
    <brk id="598" max="12" man="1"/>
    <brk id="635" max="12" man="1"/>
    <brk id="672" max="12" man="1"/>
    <brk id="708" max="12" man="1"/>
    <brk id="759" max="12" man="1"/>
    <brk id="798" max="12" man="1"/>
    <brk id="834" max="12" man="1"/>
    <brk id="869" max="12" man="1"/>
    <brk id="9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1015"/>
  <sheetViews>
    <sheetView showGridLines="0" zoomScale="75" zoomScaleNormal="75" zoomScaleSheetLayoutView="65" workbookViewId="0" topLeftCell="A979">
      <selection activeCell="A8" sqref="A8:M8"/>
    </sheetView>
  </sheetViews>
  <sheetFormatPr defaultColWidth="9.625" defaultRowHeight="12.75"/>
  <cols>
    <col min="1" max="1" width="7.625" style="7" customWidth="1"/>
    <col min="2" max="2" width="1.875" style="7" customWidth="1"/>
    <col min="3" max="3" width="38.50390625" style="7" customWidth="1"/>
    <col min="4" max="4" width="19.125" style="7" customWidth="1"/>
    <col min="5" max="6" width="8.125" style="7" customWidth="1"/>
    <col min="7" max="7" width="10.625" style="7" customWidth="1"/>
    <col min="8" max="8" width="13.625" style="7" customWidth="1"/>
    <col min="9" max="9" width="10.625" style="8" customWidth="1"/>
    <col min="10" max="10" width="13.625" style="9" customWidth="1"/>
    <col min="11" max="11" width="8.75390625" style="7" customWidth="1"/>
    <col min="12" max="12" width="9.875" style="8" customWidth="1"/>
    <col min="13" max="13" width="13.625" style="9" customWidth="1"/>
    <col min="14" max="14" width="10.00390625" style="7" bestFit="1" customWidth="1"/>
    <col min="15" max="15" width="10.75390625" style="7" bestFit="1" customWidth="1"/>
    <col min="16" max="16384" width="9.625" style="7" customWidth="1"/>
  </cols>
  <sheetData>
    <row r="2" ht="12">
      <c r="M2" s="10" t="s">
        <v>147</v>
      </c>
    </row>
    <row r="3" ht="12">
      <c r="M3" s="195" t="s">
        <v>255</v>
      </c>
    </row>
    <row r="5" spans="1:13" ht="45">
      <c r="A5" s="263" t="s">
        <v>146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8" spans="1:13" s="45" customFormat="1" ht="33">
      <c r="A8" s="264" t="s">
        <v>256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3" s="45" customFormat="1" ht="33">
      <c r="A9" s="264" t="s">
        <v>257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20" spans="1:13" ht="45">
      <c r="A20" s="265" t="s">
        <v>611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</row>
    <row r="21" spans="1:13" ht="45">
      <c r="A21" s="265" t="s">
        <v>612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33" spans="1:13" ht="12.75">
      <c r="A33" s="266" t="s">
        <v>258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</row>
    <row r="35" spans="1:13" ht="12">
      <c r="A35" s="11"/>
      <c r="C35" s="12"/>
      <c r="E35" s="11"/>
      <c r="F35" s="13"/>
      <c r="G35" s="13"/>
      <c r="H35" s="13"/>
      <c r="I35" s="14"/>
      <c r="J35" s="15"/>
      <c r="K35" s="13"/>
      <c r="L35" s="14"/>
      <c r="M35" s="15"/>
    </row>
    <row r="36" spans="1:13" ht="12">
      <c r="A36" s="19" t="s">
        <v>613</v>
      </c>
      <c r="I36" s="17"/>
      <c r="M36" s="18" t="s">
        <v>18</v>
      </c>
    </row>
    <row r="37" spans="1:13" s="46" customFormat="1" ht="12">
      <c r="A37" s="261" t="s">
        <v>19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</row>
    <row r="38" spans="1:13" ht="12">
      <c r="A38" s="19" t="s">
        <v>664</v>
      </c>
      <c r="C38" s="7" t="s">
        <v>666</v>
      </c>
      <c r="I38" s="17"/>
      <c r="K38" s="5"/>
      <c r="L38" s="17"/>
      <c r="M38" s="20" t="str">
        <f>$M$3</f>
        <v>Date: 10/1/2008</v>
      </c>
    </row>
    <row r="39" spans="1:13" ht="12">
      <c r="A39" s="21" t="s">
        <v>1</v>
      </c>
      <c r="B39" s="21" t="s">
        <v>1</v>
      </c>
      <c r="C39" s="21" t="s">
        <v>1</v>
      </c>
      <c r="D39" s="21" t="s">
        <v>1</v>
      </c>
      <c r="E39" s="21" t="s">
        <v>1</v>
      </c>
      <c r="F39" s="21" t="s">
        <v>1</v>
      </c>
      <c r="G39" s="21"/>
      <c r="H39" s="21"/>
      <c r="I39" s="22" t="s">
        <v>1</v>
      </c>
      <c r="J39" s="23" t="s">
        <v>1</v>
      </c>
      <c r="K39" s="21" t="s">
        <v>1</v>
      </c>
      <c r="L39" s="22" t="s">
        <v>1</v>
      </c>
      <c r="M39" s="23" t="s">
        <v>1</v>
      </c>
    </row>
    <row r="40" spans="1:13" ht="12">
      <c r="A40" s="24" t="s">
        <v>2</v>
      </c>
      <c r="C40" s="12" t="s">
        <v>3</v>
      </c>
      <c r="E40" s="24" t="s">
        <v>2</v>
      </c>
      <c r="F40" s="25"/>
      <c r="G40" s="25"/>
      <c r="H40" s="25" t="s">
        <v>249</v>
      </c>
      <c r="I40" s="26"/>
      <c r="J40" s="27" t="s">
        <v>251</v>
      </c>
      <c r="K40" s="25"/>
      <c r="L40" s="26"/>
      <c r="M40" s="27" t="s">
        <v>260</v>
      </c>
    </row>
    <row r="41" spans="1:13" ht="12">
      <c r="A41" s="24" t="s">
        <v>4</v>
      </c>
      <c r="C41" s="28" t="s">
        <v>5</v>
      </c>
      <c r="E41" s="24" t="s">
        <v>4</v>
      </c>
      <c r="F41" s="25"/>
      <c r="G41" s="25" t="s">
        <v>21</v>
      </c>
      <c r="H41" s="25" t="s">
        <v>7</v>
      </c>
      <c r="I41" s="26" t="s">
        <v>6</v>
      </c>
      <c r="J41" s="27" t="s">
        <v>7</v>
      </c>
      <c r="K41" s="25"/>
      <c r="L41" s="26" t="s">
        <v>6</v>
      </c>
      <c r="M41" s="27" t="s">
        <v>8</v>
      </c>
    </row>
    <row r="42" spans="1:13" ht="12">
      <c r="A42" s="21" t="s">
        <v>1</v>
      </c>
      <c r="B42" s="21" t="s">
        <v>1</v>
      </c>
      <c r="C42" s="21" t="s">
        <v>1</v>
      </c>
      <c r="D42" s="21" t="s">
        <v>1</v>
      </c>
      <c r="E42" s="21" t="s">
        <v>1</v>
      </c>
      <c r="F42" s="21" t="s">
        <v>1</v>
      </c>
      <c r="G42" s="21"/>
      <c r="H42" s="21"/>
      <c r="I42" s="22" t="s">
        <v>1</v>
      </c>
      <c r="J42" s="22" t="s">
        <v>1</v>
      </c>
      <c r="K42" s="21" t="s">
        <v>1</v>
      </c>
      <c r="L42" s="22" t="s">
        <v>1</v>
      </c>
      <c r="M42" s="23" t="s">
        <v>1</v>
      </c>
    </row>
    <row r="43" spans="1:13" ht="12">
      <c r="A43" s="11">
        <v>1</v>
      </c>
      <c r="C43" s="12" t="s">
        <v>9</v>
      </c>
      <c r="D43" s="29" t="s">
        <v>106</v>
      </c>
      <c r="E43" s="11">
        <v>1</v>
      </c>
      <c r="G43" s="47">
        <f>+G490</f>
        <v>463.84999999999997</v>
      </c>
      <c r="H43" s="48">
        <f>+H490</f>
        <v>55354305</v>
      </c>
      <c r="I43" s="47">
        <f>+I490</f>
        <v>530.9093695204758</v>
      </c>
      <c r="J43" s="48">
        <f>+J490</f>
        <v>63651791</v>
      </c>
      <c r="K43" s="30"/>
      <c r="L43" s="47">
        <f>+L490</f>
        <v>572.8599999999999</v>
      </c>
      <c r="M43" s="48">
        <f>+M490</f>
        <v>73056172</v>
      </c>
    </row>
    <row r="44" spans="1:13" ht="12">
      <c r="A44" s="11">
        <v>2</v>
      </c>
      <c r="C44" s="12" t="s">
        <v>10</v>
      </c>
      <c r="D44" s="29" t="s">
        <v>107</v>
      </c>
      <c r="E44" s="11">
        <v>2</v>
      </c>
      <c r="G44" s="47">
        <f>+G527</f>
        <v>1</v>
      </c>
      <c r="H44" s="48">
        <f>+H527</f>
        <v>45374</v>
      </c>
      <c r="I44" s="47">
        <f>+I527</f>
        <v>0.8589792899408284</v>
      </c>
      <c r="J44" s="48">
        <f>+J527</f>
        <v>83194</v>
      </c>
      <c r="K44" s="30"/>
      <c r="L44" s="47">
        <f>+L527</f>
        <v>0</v>
      </c>
      <c r="M44" s="48">
        <f>+M527</f>
        <v>0</v>
      </c>
    </row>
    <row r="45" spans="1:13" ht="12">
      <c r="A45" s="11">
        <v>3</v>
      </c>
      <c r="C45" s="12" t="s">
        <v>11</v>
      </c>
      <c r="D45" s="29" t="s">
        <v>108</v>
      </c>
      <c r="E45" s="11">
        <v>3</v>
      </c>
      <c r="G45" s="47">
        <f>+G564</f>
        <v>0.91</v>
      </c>
      <c r="H45" s="48">
        <f>+H564</f>
        <v>147278</v>
      </c>
      <c r="I45" s="47">
        <f>+I564</f>
        <v>1.3217533090351046</v>
      </c>
      <c r="J45" s="48">
        <f>+J564</f>
        <v>106788</v>
      </c>
      <c r="K45" s="30"/>
      <c r="L45" s="47">
        <f>+L564</f>
        <v>0</v>
      </c>
      <c r="M45" s="48">
        <f>+M564</f>
        <v>136686</v>
      </c>
    </row>
    <row r="46" spans="1:13" ht="12">
      <c r="A46" s="11">
        <v>4</v>
      </c>
      <c r="C46" s="12" t="s">
        <v>12</v>
      </c>
      <c r="D46" s="29" t="s">
        <v>109</v>
      </c>
      <c r="E46" s="11">
        <v>4</v>
      </c>
      <c r="G46" s="47">
        <f>+G601</f>
        <v>146.4</v>
      </c>
      <c r="H46" s="48">
        <f>+H601</f>
        <v>16806888</v>
      </c>
      <c r="I46" s="47">
        <f>+I601</f>
        <v>130.6876175314859</v>
      </c>
      <c r="J46" s="48">
        <f>+J601</f>
        <v>18419191</v>
      </c>
      <c r="K46" s="30"/>
      <c r="L46" s="47">
        <f>+L601</f>
        <v>131.45</v>
      </c>
      <c r="M46" s="48">
        <f>+M601</f>
        <v>18673069</v>
      </c>
    </row>
    <row r="47" spans="1:13" ht="12">
      <c r="A47" s="11">
        <v>5</v>
      </c>
      <c r="C47" s="12" t="s">
        <v>13</v>
      </c>
      <c r="D47" s="29" t="s">
        <v>110</v>
      </c>
      <c r="E47" s="11">
        <v>5</v>
      </c>
      <c r="G47" s="47">
        <f>+G638</f>
        <v>26.900000000000002</v>
      </c>
      <c r="H47" s="48">
        <f>+H638</f>
        <v>2009559</v>
      </c>
      <c r="I47" s="47">
        <f>+I638</f>
        <v>12.995535396829117</v>
      </c>
      <c r="J47" s="48">
        <f>+J638</f>
        <v>1051674</v>
      </c>
      <c r="K47" s="30"/>
      <c r="L47" s="47">
        <f>+L638</f>
        <v>14.81</v>
      </c>
      <c r="M47" s="48">
        <f>+M638</f>
        <v>1245211</v>
      </c>
    </row>
    <row r="48" spans="1:13" ht="12">
      <c r="A48" s="11">
        <v>6</v>
      </c>
      <c r="C48" s="12" t="s">
        <v>14</v>
      </c>
      <c r="D48" s="29" t="s">
        <v>111</v>
      </c>
      <c r="E48" s="11">
        <v>6</v>
      </c>
      <c r="G48" s="47">
        <f>+G674</f>
        <v>247.3</v>
      </c>
      <c r="H48" s="48">
        <f>+H674</f>
        <v>24861914</v>
      </c>
      <c r="I48" s="47">
        <f>+I674</f>
        <v>232.15167456308558</v>
      </c>
      <c r="J48" s="48">
        <f>+J674</f>
        <v>26542546</v>
      </c>
      <c r="K48" s="30"/>
      <c r="L48" s="47">
        <f>+L674</f>
        <v>240.38</v>
      </c>
      <c r="M48" s="48">
        <f>+M674</f>
        <v>28954655</v>
      </c>
    </row>
    <row r="49" spans="1:13" ht="12">
      <c r="A49" s="11">
        <v>7</v>
      </c>
      <c r="C49" s="12" t="s">
        <v>59</v>
      </c>
      <c r="D49" s="29" t="s">
        <v>112</v>
      </c>
      <c r="E49" s="11">
        <v>7</v>
      </c>
      <c r="G49" s="47">
        <f>+G710</f>
        <v>211.79999999999998</v>
      </c>
      <c r="H49" s="48">
        <f>+H710</f>
        <v>24232380</v>
      </c>
      <c r="I49" s="47">
        <f>+I710</f>
        <v>218.06516893125024</v>
      </c>
      <c r="J49" s="48">
        <f>+J710</f>
        <v>27791372</v>
      </c>
      <c r="K49" s="30"/>
      <c r="L49" s="47">
        <f>+L710</f>
        <v>224.26000000000002</v>
      </c>
      <c r="M49" s="48">
        <f>+M710</f>
        <v>25886495</v>
      </c>
    </row>
    <row r="50" spans="1:13" ht="12">
      <c r="A50" s="11">
        <v>8</v>
      </c>
      <c r="C50" s="12" t="s">
        <v>15</v>
      </c>
      <c r="D50" s="29" t="s">
        <v>113</v>
      </c>
      <c r="E50" s="11">
        <v>8</v>
      </c>
      <c r="G50" s="47">
        <v>0</v>
      </c>
      <c r="H50" s="48">
        <f>+H792</f>
        <v>2109472</v>
      </c>
      <c r="I50" s="47">
        <v>0</v>
      </c>
      <c r="J50" s="48">
        <f>+J792</f>
        <v>1469966</v>
      </c>
      <c r="K50" s="30"/>
      <c r="L50" s="47">
        <v>0</v>
      </c>
      <c r="M50" s="48">
        <f>+M792</f>
        <v>1796176</v>
      </c>
    </row>
    <row r="51" spans="1:13" ht="12">
      <c r="A51" s="11">
        <v>9</v>
      </c>
      <c r="C51" s="12" t="s">
        <v>90</v>
      </c>
      <c r="D51" s="29" t="s">
        <v>114</v>
      </c>
      <c r="E51" s="11">
        <v>9</v>
      </c>
      <c r="G51" s="47">
        <f>G831</f>
        <v>0</v>
      </c>
      <c r="H51" s="180">
        <f aca="true" t="shared" si="0" ref="H51:M51">H831</f>
        <v>795</v>
      </c>
      <c r="I51" s="47">
        <f t="shared" si="0"/>
        <v>0</v>
      </c>
      <c r="J51" s="47">
        <f t="shared" si="0"/>
        <v>6604</v>
      </c>
      <c r="K51" s="47">
        <f t="shared" si="0"/>
        <v>0</v>
      </c>
      <c r="L51" s="47">
        <f t="shared" si="0"/>
        <v>0</v>
      </c>
      <c r="M51" s="180">
        <f t="shared" si="0"/>
        <v>0</v>
      </c>
    </row>
    <row r="52" spans="1:13" ht="12">
      <c r="A52" s="11">
        <v>10</v>
      </c>
      <c r="C52" s="12" t="s">
        <v>16</v>
      </c>
      <c r="D52" s="29" t="s">
        <v>89</v>
      </c>
      <c r="E52" s="11">
        <v>10</v>
      </c>
      <c r="G52" s="48">
        <f>+G866</f>
        <v>0</v>
      </c>
      <c r="H52" s="48">
        <f>+H866</f>
        <v>31200008</v>
      </c>
      <c r="I52" s="48">
        <f>+I866</f>
        <v>0</v>
      </c>
      <c r="J52" s="48">
        <f>+J866</f>
        <v>27912560</v>
      </c>
      <c r="K52" s="30"/>
      <c r="L52" s="48">
        <f>+L866</f>
        <v>0</v>
      </c>
      <c r="M52" s="48">
        <f>+M866</f>
        <v>30844246</v>
      </c>
    </row>
    <row r="53" spans="1:13" ht="12">
      <c r="A53" s="11"/>
      <c r="C53" s="12"/>
      <c r="D53" s="29"/>
      <c r="E53" s="11"/>
      <c r="F53" s="21" t="s">
        <v>1</v>
      </c>
      <c r="G53" s="21"/>
      <c r="H53" s="49"/>
      <c r="I53" s="22" t="s">
        <v>1</v>
      </c>
      <c r="J53" s="49"/>
      <c r="K53" s="32"/>
      <c r="L53" s="22"/>
      <c r="M53" s="49"/>
    </row>
    <row r="54" spans="1:14" ht="12">
      <c r="A54" s="7">
        <v>11</v>
      </c>
      <c r="C54" s="12" t="s">
        <v>232</v>
      </c>
      <c r="E54" s="7">
        <v>11</v>
      </c>
      <c r="G54" s="47">
        <f>SUM(G43:G52)</f>
        <v>1098.1599999999999</v>
      </c>
      <c r="H54" s="48">
        <f>SUM(H43:H52)</f>
        <v>156767973</v>
      </c>
      <c r="I54" s="47">
        <f>SUM(I43:I52)</f>
        <v>1126.9900985421027</v>
      </c>
      <c r="J54" s="48">
        <f>SUM(J43:J52)</f>
        <v>167035686</v>
      </c>
      <c r="K54" s="30"/>
      <c r="L54" s="47">
        <f>SUM(L43:L52)</f>
        <v>1183.76</v>
      </c>
      <c r="M54" s="48">
        <f>SUM(M43:M52)</f>
        <v>180592710</v>
      </c>
      <c r="N54" s="181"/>
    </row>
    <row r="55" spans="1:13" ht="12">
      <c r="A55" s="11"/>
      <c r="E55" s="11"/>
      <c r="F55" s="21" t="s">
        <v>1</v>
      </c>
      <c r="G55" s="21"/>
      <c r="H55" s="21"/>
      <c r="I55" s="22" t="s">
        <v>1</v>
      </c>
      <c r="J55" s="23"/>
      <c r="K55" s="32"/>
      <c r="L55" s="22"/>
      <c r="M55" s="23"/>
    </row>
    <row r="56" spans="1:13" ht="12">
      <c r="A56" s="11"/>
      <c r="E56" s="11"/>
      <c r="F56" s="21"/>
      <c r="G56" s="21"/>
      <c r="H56" s="21"/>
      <c r="I56" s="17"/>
      <c r="J56" s="23"/>
      <c r="K56" s="32"/>
      <c r="L56" s="17"/>
      <c r="M56" s="23"/>
    </row>
    <row r="57" spans="1:13" ht="12">
      <c r="A57" s="7">
        <v>12</v>
      </c>
      <c r="C57" s="12" t="s">
        <v>17</v>
      </c>
      <c r="E57" s="7">
        <v>12</v>
      </c>
      <c r="G57" s="30"/>
      <c r="H57" s="30"/>
      <c r="I57" s="31"/>
      <c r="J57" s="31"/>
      <c r="K57" s="30"/>
      <c r="L57" s="47"/>
      <c r="M57" s="31"/>
    </row>
    <row r="58" spans="1:14" ht="12">
      <c r="A58" s="11">
        <v>13</v>
      </c>
      <c r="C58" s="12" t="s">
        <v>205</v>
      </c>
      <c r="D58" s="29" t="s">
        <v>228</v>
      </c>
      <c r="E58" s="11">
        <v>13</v>
      </c>
      <c r="G58" s="47">
        <v>0</v>
      </c>
      <c r="H58" s="48">
        <f>H414</f>
        <v>0</v>
      </c>
      <c r="I58" s="47">
        <v>0</v>
      </c>
      <c r="J58" s="48">
        <f>J414</f>
        <v>8511345</v>
      </c>
      <c r="K58" s="48"/>
      <c r="L58" s="47">
        <v>0</v>
      </c>
      <c r="M58" s="48">
        <f>M414</f>
        <v>18943716</v>
      </c>
      <c r="N58" s="181"/>
    </row>
    <row r="59" spans="1:14" ht="12">
      <c r="A59" s="11">
        <v>14</v>
      </c>
      <c r="C59" s="12" t="s">
        <v>206</v>
      </c>
      <c r="D59" s="29" t="s">
        <v>229</v>
      </c>
      <c r="E59" s="11">
        <v>14</v>
      </c>
      <c r="G59" s="47">
        <v>0</v>
      </c>
      <c r="H59" s="48">
        <f>H425</f>
        <v>60171681</v>
      </c>
      <c r="I59" s="47">
        <v>0</v>
      </c>
      <c r="J59" s="48">
        <f>J425</f>
        <v>61214736</v>
      </c>
      <c r="K59" s="30"/>
      <c r="L59" s="47">
        <v>0</v>
      </c>
      <c r="M59" s="48">
        <f>M425</f>
        <v>65498980</v>
      </c>
      <c r="N59" s="181"/>
    </row>
    <row r="60" spans="1:14" ht="12">
      <c r="A60" s="11">
        <v>15</v>
      </c>
      <c r="C60" s="12" t="s">
        <v>225</v>
      </c>
      <c r="D60" s="29"/>
      <c r="E60" s="11">
        <v>15</v>
      </c>
      <c r="G60" s="47">
        <v>0</v>
      </c>
      <c r="H60" s="48">
        <v>1248032</v>
      </c>
      <c r="I60" s="47">
        <v>0</v>
      </c>
      <c r="J60" s="48">
        <v>1320070</v>
      </c>
      <c r="K60" s="30"/>
      <c r="L60" s="47">
        <v>0</v>
      </c>
      <c r="M60" s="48">
        <v>1344424</v>
      </c>
      <c r="N60" s="181"/>
    </row>
    <row r="61" spans="1:13" ht="12">
      <c r="A61" s="11">
        <v>16</v>
      </c>
      <c r="C61" s="12" t="s">
        <v>224</v>
      </c>
      <c r="D61" s="29"/>
      <c r="E61" s="11">
        <v>16</v>
      </c>
      <c r="G61" s="47">
        <f>+G304-G60</f>
        <v>0</v>
      </c>
      <c r="H61" s="48">
        <f aca="true" t="shared" si="1" ref="H61:M61">+H306-H60</f>
        <v>4753359</v>
      </c>
      <c r="I61" s="47">
        <f t="shared" si="1"/>
        <v>0</v>
      </c>
      <c r="J61" s="48">
        <f t="shared" si="1"/>
        <v>5340050</v>
      </c>
      <c r="K61" s="48">
        <f t="shared" si="1"/>
        <v>0</v>
      </c>
      <c r="L61" s="48">
        <f t="shared" si="1"/>
        <v>0</v>
      </c>
      <c r="M61" s="48">
        <f t="shared" si="1"/>
        <v>5746993</v>
      </c>
    </row>
    <row r="62" spans="1:256" ht="12">
      <c r="A62" s="29">
        <v>17</v>
      </c>
      <c r="B62" s="29"/>
      <c r="C62" s="33" t="s">
        <v>226</v>
      </c>
      <c r="D62" s="29" t="s">
        <v>246</v>
      </c>
      <c r="E62" s="29">
        <v>17</v>
      </c>
      <c r="F62" s="29"/>
      <c r="G62" s="47">
        <f>G313</f>
        <v>421</v>
      </c>
      <c r="H62" s="48">
        <f>SUM(H60:H61)</f>
        <v>6001391</v>
      </c>
      <c r="I62" s="47">
        <f>I313</f>
        <v>430</v>
      </c>
      <c r="J62" s="48">
        <f>SUM(J60:J61)</f>
        <v>6660120</v>
      </c>
      <c r="K62" s="33"/>
      <c r="L62" s="47">
        <f>L313</f>
        <v>414</v>
      </c>
      <c r="M62" s="48">
        <f>SUM(M60:M61)</f>
        <v>7091417</v>
      </c>
      <c r="N62" s="29"/>
      <c r="O62" s="33"/>
      <c r="P62" s="29"/>
      <c r="Q62" s="33"/>
      <c r="R62" s="29"/>
      <c r="S62" s="33"/>
      <c r="T62" s="29"/>
      <c r="U62" s="33"/>
      <c r="V62" s="29"/>
      <c r="W62" s="33"/>
      <c r="X62" s="29"/>
      <c r="Y62" s="33"/>
      <c r="Z62" s="29"/>
      <c r="AA62" s="33"/>
      <c r="AB62" s="29"/>
      <c r="AC62" s="33"/>
      <c r="AD62" s="29"/>
      <c r="AE62" s="33"/>
      <c r="AF62" s="29"/>
      <c r="AG62" s="33"/>
      <c r="AH62" s="29"/>
      <c r="AI62" s="33"/>
      <c r="AJ62" s="29"/>
      <c r="AK62" s="33"/>
      <c r="AL62" s="29"/>
      <c r="AM62" s="33"/>
      <c r="AN62" s="29"/>
      <c r="AO62" s="33"/>
      <c r="AP62" s="29"/>
      <c r="AQ62" s="33"/>
      <c r="AR62" s="29"/>
      <c r="AS62" s="33"/>
      <c r="AT62" s="29"/>
      <c r="AU62" s="33"/>
      <c r="AV62" s="29"/>
      <c r="AW62" s="33"/>
      <c r="AX62" s="29"/>
      <c r="AY62" s="33"/>
      <c r="AZ62" s="29"/>
      <c r="BA62" s="33"/>
      <c r="BB62" s="29"/>
      <c r="BC62" s="33"/>
      <c r="BD62" s="29"/>
      <c r="BE62" s="33"/>
      <c r="BF62" s="29"/>
      <c r="BG62" s="33"/>
      <c r="BH62" s="29"/>
      <c r="BI62" s="33"/>
      <c r="BJ62" s="29"/>
      <c r="BK62" s="33"/>
      <c r="BL62" s="29"/>
      <c r="BM62" s="33"/>
      <c r="BN62" s="29"/>
      <c r="BO62" s="33"/>
      <c r="BP62" s="29"/>
      <c r="BQ62" s="33"/>
      <c r="BR62" s="29"/>
      <c r="BS62" s="33"/>
      <c r="BT62" s="29"/>
      <c r="BU62" s="33"/>
      <c r="BV62" s="29"/>
      <c r="BW62" s="33"/>
      <c r="BX62" s="29"/>
      <c r="BY62" s="33"/>
      <c r="BZ62" s="29"/>
      <c r="CA62" s="33"/>
      <c r="CB62" s="29"/>
      <c r="CC62" s="33"/>
      <c r="CD62" s="29"/>
      <c r="CE62" s="33"/>
      <c r="CF62" s="29"/>
      <c r="CG62" s="33"/>
      <c r="CH62" s="29"/>
      <c r="CI62" s="33"/>
      <c r="CJ62" s="29"/>
      <c r="CK62" s="33"/>
      <c r="CL62" s="29"/>
      <c r="CM62" s="33"/>
      <c r="CN62" s="29"/>
      <c r="CO62" s="33"/>
      <c r="CP62" s="29"/>
      <c r="CQ62" s="33"/>
      <c r="CR62" s="29"/>
      <c r="CS62" s="33"/>
      <c r="CT62" s="29"/>
      <c r="CU62" s="33"/>
      <c r="CV62" s="29"/>
      <c r="CW62" s="33"/>
      <c r="CX62" s="29"/>
      <c r="CY62" s="33"/>
      <c r="CZ62" s="29"/>
      <c r="DA62" s="33"/>
      <c r="DB62" s="29"/>
      <c r="DC62" s="33"/>
      <c r="DD62" s="29"/>
      <c r="DE62" s="33"/>
      <c r="DF62" s="29"/>
      <c r="DG62" s="33"/>
      <c r="DH62" s="29"/>
      <c r="DI62" s="33"/>
      <c r="DJ62" s="29"/>
      <c r="DK62" s="33"/>
      <c r="DL62" s="29"/>
      <c r="DM62" s="33"/>
      <c r="DN62" s="29"/>
      <c r="DO62" s="33"/>
      <c r="DP62" s="29"/>
      <c r="DQ62" s="33"/>
      <c r="DR62" s="29"/>
      <c r="DS62" s="33"/>
      <c r="DT62" s="29"/>
      <c r="DU62" s="33"/>
      <c r="DV62" s="29"/>
      <c r="DW62" s="33"/>
      <c r="DX62" s="29"/>
      <c r="DY62" s="33"/>
      <c r="DZ62" s="29"/>
      <c r="EA62" s="33"/>
      <c r="EB62" s="29"/>
      <c r="EC62" s="33"/>
      <c r="ED62" s="29"/>
      <c r="EE62" s="33"/>
      <c r="EF62" s="29"/>
      <c r="EG62" s="33"/>
      <c r="EH62" s="29"/>
      <c r="EI62" s="33"/>
      <c r="EJ62" s="29"/>
      <c r="EK62" s="33"/>
      <c r="EL62" s="29"/>
      <c r="EM62" s="33"/>
      <c r="EN62" s="29"/>
      <c r="EO62" s="33"/>
      <c r="EP62" s="29"/>
      <c r="EQ62" s="33"/>
      <c r="ER62" s="29"/>
      <c r="ES62" s="33"/>
      <c r="ET62" s="29"/>
      <c r="EU62" s="33"/>
      <c r="EV62" s="29"/>
      <c r="EW62" s="33"/>
      <c r="EX62" s="29"/>
      <c r="EY62" s="33"/>
      <c r="EZ62" s="29"/>
      <c r="FA62" s="33"/>
      <c r="FB62" s="29"/>
      <c r="FC62" s="33"/>
      <c r="FD62" s="29"/>
      <c r="FE62" s="33"/>
      <c r="FF62" s="29"/>
      <c r="FG62" s="33"/>
      <c r="FH62" s="29"/>
      <c r="FI62" s="33"/>
      <c r="FJ62" s="29"/>
      <c r="FK62" s="33"/>
      <c r="FL62" s="29"/>
      <c r="FM62" s="33"/>
      <c r="FN62" s="29"/>
      <c r="FO62" s="33"/>
      <c r="FP62" s="29"/>
      <c r="FQ62" s="33"/>
      <c r="FR62" s="29"/>
      <c r="FS62" s="33"/>
      <c r="FT62" s="29"/>
      <c r="FU62" s="33"/>
      <c r="FV62" s="29"/>
      <c r="FW62" s="33"/>
      <c r="FX62" s="29"/>
      <c r="FY62" s="33"/>
      <c r="FZ62" s="29"/>
      <c r="GA62" s="33"/>
      <c r="GB62" s="29"/>
      <c r="GC62" s="33"/>
      <c r="GD62" s="29"/>
      <c r="GE62" s="33"/>
      <c r="GF62" s="29"/>
      <c r="GG62" s="33"/>
      <c r="GH62" s="29"/>
      <c r="GI62" s="33"/>
      <c r="GJ62" s="29"/>
      <c r="GK62" s="33"/>
      <c r="GL62" s="29"/>
      <c r="GM62" s="33"/>
      <c r="GN62" s="29"/>
      <c r="GO62" s="33"/>
      <c r="GP62" s="29"/>
      <c r="GQ62" s="33"/>
      <c r="GR62" s="29"/>
      <c r="GS62" s="33"/>
      <c r="GT62" s="29"/>
      <c r="GU62" s="33"/>
      <c r="GV62" s="29"/>
      <c r="GW62" s="33"/>
      <c r="GX62" s="29"/>
      <c r="GY62" s="33"/>
      <c r="GZ62" s="29"/>
      <c r="HA62" s="33"/>
      <c r="HB62" s="29"/>
      <c r="HC62" s="33"/>
      <c r="HD62" s="29"/>
      <c r="HE62" s="33"/>
      <c r="HF62" s="29"/>
      <c r="HG62" s="33"/>
      <c r="HH62" s="29"/>
      <c r="HI62" s="33"/>
      <c r="HJ62" s="29"/>
      <c r="HK62" s="33"/>
      <c r="HL62" s="29"/>
      <c r="HM62" s="33"/>
      <c r="HN62" s="29"/>
      <c r="HO62" s="33"/>
      <c r="HP62" s="29"/>
      <c r="HQ62" s="33"/>
      <c r="HR62" s="29"/>
      <c r="HS62" s="33"/>
      <c r="HT62" s="29"/>
      <c r="HU62" s="33"/>
      <c r="HV62" s="29"/>
      <c r="HW62" s="33"/>
      <c r="HX62" s="29"/>
      <c r="HY62" s="33"/>
      <c r="HZ62" s="29"/>
      <c r="IA62" s="33"/>
      <c r="IB62" s="29"/>
      <c r="IC62" s="33"/>
      <c r="ID62" s="29"/>
      <c r="IE62" s="33"/>
      <c r="IF62" s="29"/>
      <c r="IG62" s="33"/>
      <c r="IH62" s="29"/>
      <c r="II62" s="33"/>
      <c r="IJ62" s="29"/>
      <c r="IK62" s="33"/>
      <c r="IL62" s="29"/>
      <c r="IM62" s="33"/>
      <c r="IN62" s="29"/>
      <c r="IO62" s="33"/>
      <c r="IP62" s="29"/>
      <c r="IQ62" s="33"/>
      <c r="IR62" s="29"/>
      <c r="IS62" s="33"/>
      <c r="IT62" s="29"/>
      <c r="IU62" s="33"/>
      <c r="IV62" s="29"/>
    </row>
    <row r="63" spans="1:13" ht="12">
      <c r="A63" s="11">
        <v>18</v>
      </c>
      <c r="C63" s="12" t="s">
        <v>227</v>
      </c>
      <c r="D63" s="29" t="s">
        <v>246</v>
      </c>
      <c r="E63" s="11">
        <v>18</v>
      </c>
      <c r="G63" s="47">
        <f>+G305</f>
        <v>0</v>
      </c>
      <c r="H63" s="48">
        <f>+H305</f>
        <v>24859278</v>
      </c>
      <c r="I63" s="47">
        <f>+I305</f>
        <v>0</v>
      </c>
      <c r="J63" s="48">
        <f>+J305</f>
        <v>25461459</v>
      </c>
      <c r="K63" s="30"/>
      <c r="L63" s="47">
        <f>+L305</f>
        <v>0</v>
      </c>
      <c r="M63" s="48">
        <f>+M305</f>
        <v>27416447</v>
      </c>
    </row>
    <row r="64" spans="1:13" ht="12">
      <c r="A64" s="11">
        <v>19</v>
      </c>
      <c r="C64" s="12" t="s">
        <v>183</v>
      </c>
      <c r="D64" s="29" t="s">
        <v>246</v>
      </c>
      <c r="E64" s="11">
        <v>19</v>
      </c>
      <c r="G64" s="47">
        <f>+G311</f>
        <v>318</v>
      </c>
      <c r="H64" s="48">
        <f>+H311</f>
        <v>7561938</v>
      </c>
      <c r="I64" s="47">
        <f>+I311</f>
        <v>363</v>
      </c>
      <c r="J64" s="48">
        <f>+J311</f>
        <v>8274198</v>
      </c>
      <c r="K64" s="30"/>
      <c r="L64" s="47">
        <f>+L311</f>
        <v>382</v>
      </c>
      <c r="M64" s="48">
        <f>+M311</f>
        <v>8961625</v>
      </c>
    </row>
    <row r="65" spans="1:15" ht="12">
      <c r="A65" s="11">
        <v>20</v>
      </c>
      <c r="C65" s="12" t="s">
        <v>160</v>
      </c>
      <c r="D65" s="29" t="s">
        <v>246</v>
      </c>
      <c r="E65" s="11">
        <v>20</v>
      </c>
      <c r="G65" s="47">
        <f>G62+G63+G64</f>
        <v>739</v>
      </c>
      <c r="H65" s="48">
        <f>H62+H63+H64</f>
        <v>38422607</v>
      </c>
      <c r="I65" s="47">
        <f>I62+I63+I64</f>
        <v>793</v>
      </c>
      <c r="J65" s="48">
        <f>J62+J63+J64</f>
        <v>40395777</v>
      </c>
      <c r="K65" s="30"/>
      <c r="L65" s="47">
        <f>L62+L63+L64</f>
        <v>796</v>
      </c>
      <c r="M65" s="48">
        <f>M62+M63+M64</f>
        <v>43469489</v>
      </c>
      <c r="O65" s="181"/>
    </row>
    <row r="66" spans="1:15" ht="12">
      <c r="A66" s="11">
        <v>21</v>
      </c>
      <c r="C66" s="12" t="s">
        <v>220</v>
      </c>
      <c r="D66" s="29" t="s">
        <v>245</v>
      </c>
      <c r="E66" s="11">
        <v>21</v>
      </c>
      <c r="G66" s="47">
        <v>0</v>
      </c>
      <c r="H66" s="48">
        <f>+H339</f>
        <v>1615618</v>
      </c>
      <c r="I66" s="47">
        <v>0</v>
      </c>
      <c r="J66" s="48">
        <f>+J339</f>
        <v>3151383</v>
      </c>
      <c r="K66" s="30"/>
      <c r="L66" s="47">
        <v>0</v>
      </c>
      <c r="M66" s="48">
        <f>+M339</f>
        <v>4354519</v>
      </c>
      <c r="O66" s="181"/>
    </row>
    <row r="67" spans="1:13" ht="12">
      <c r="A67" s="11">
        <v>22</v>
      </c>
      <c r="C67" s="34"/>
      <c r="E67" s="11">
        <v>22</v>
      </c>
      <c r="F67" s="21" t="s">
        <v>1</v>
      </c>
      <c r="G67" s="21"/>
      <c r="H67" s="21"/>
      <c r="I67" s="22"/>
      <c r="J67" s="23"/>
      <c r="K67" s="32"/>
      <c r="L67" s="22"/>
      <c r="M67" s="23"/>
    </row>
    <row r="68" spans="1:13" ht="12">
      <c r="A68" s="11">
        <v>23</v>
      </c>
      <c r="C68" s="7" t="s">
        <v>187</v>
      </c>
      <c r="D68" s="35"/>
      <c r="E68" s="11">
        <v>23</v>
      </c>
      <c r="F68" s="36"/>
      <c r="G68" s="47"/>
      <c r="H68" s="48">
        <f>SUM(H58,H59,H65,H66)</f>
        <v>100209906</v>
      </c>
      <c r="I68" s="47"/>
      <c r="J68" s="48">
        <f>SUM(J58,J59,J65,J66)</f>
        <v>113273241</v>
      </c>
      <c r="K68" s="48"/>
      <c r="L68" s="48"/>
      <c r="M68" s="48">
        <f>SUM(M58,M59,M65,M66)</f>
        <v>132266704</v>
      </c>
    </row>
    <row r="69" spans="1:8" ht="12">
      <c r="A69" s="11">
        <v>24</v>
      </c>
      <c r="C69" s="34"/>
      <c r="D69" s="12"/>
      <c r="E69" s="11">
        <v>24</v>
      </c>
      <c r="H69" s="48"/>
    </row>
    <row r="70" spans="1:13" ht="12">
      <c r="A70" s="11">
        <v>25</v>
      </c>
      <c r="C70" s="124" t="s">
        <v>614</v>
      </c>
      <c r="D70" s="29" t="s">
        <v>247</v>
      </c>
      <c r="E70" s="11">
        <v>25</v>
      </c>
      <c r="G70" s="47"/>
      <c r="H70" s="48">
        <f>+H379</f>
        <v>56558067</v>
      </c>
      <c r="I70" s="47"/>
      <c r="J70" s="48">
        <f>+J379</f>
        <v>53762445</v>
      </c>
      <c r="K70" s="30"/>
      <c r="L70" s="47"/>
      <c r="M70" s="48">
        <f>+M379</f>
        <v>48326006</v>
      </c>
    </row>
    <row r="71" spans="1:15" ht="12">
      <c r="A71" s="7">
        <v>26</v>
      </c>
      <c r="E71" s="7">
        <v>26</v>
      </c>
      <c r="F71" s="21" t="s">
        <v>1</v>
      </c>
      <c r="G71" s="21"/>
      <c r="H71" s="21"/>
      <c r="I71" s="22"/>
      <c r="J71" s="23"/>
      <c r="K71" s="32"/>
      <c r="L71" s="22"/>
      <c r="M71" s="23"/>
      <c r="O71" s="189"/>
    </row>
    <row r="72" spans="1:15" ht="13.5" customHeight="1">
      <c r="A72" s="11">
        <v>27</v>
      </c>
      <c r="C72" s="12" t="s">
        <v>233</v>
      </c>
      <c r="E72" s="11">
        <v>27</v>
      </c>
      <c r="F72" s="5"/>
      <c r="G72" s="47"/>
      <c r="H72" s="48">
        <f>SUM(H68,H70)</f>
        <v>156767973</v>
      </c>
      <c r="I72" s="47"/>
      <c r="J72" s="48">
        <f>SUM(J68,J70)</f>
        <v>167035686</v>
      </c>
      <c r="K72" s="31"/>
      <c r="L72" s="47"/>
      <c r="M72" s="48">
        <f>SUM(M68,M70)</f>
        <v>180592710</v>
      </c>
      <c r="O72" s="181"/>
    </row>
    <row r="73" spans="1:15" ht="12">
      <c r="A73" s="11"/>
      <c r="C73" s="12"/>
      <c r="E73" s="11"/>
      <c r="F73" s="5"/>
      <c r="G73" s="31"/>
      <c r="H73" s="180"/>
      <c r="I73" s="146"/>
      <c r="J73" s="180"/>
      <c r="K73" s="146"/>
      <c r="L73" s="146"/>
      <c r="M73" s="180"/>
      <c r="O73" s="190"/>
    </row>
    <row r="74" spans="3:13" ht="12">
      <c r="C74" s="7" t="s">
        <v>91</v>
      </c>
      <c r="D74" s="29"/>
      <c r="F74" s="21"/>
      <c r="G74" s="21"/>
      <c r="H74" s="146">
        <f>+H319</f>
        <v>4792437</v>
      </c>
      <c r="I74" s="146"/>
      <c r="J74" s="180">
        <f>6341845+623814</f>
        <v>6965659</v>
      </c>
      <c r="K74" s="146"/>
      <c r="L74" s="146"/>
      <c r="M74" s="146">
        <f>7514957+773665</f>
        <v>8288622</v>
      </c>
    </row>
    <row r="75" spans="4:13" ht="12">
      <c r="D75" s="29"/>
      <c r="F75" s="21"/>
      <c r="G75" s="21"/>
      <c r="H75" s="21"/>
      <c r="I75" s="22"/>
      <c r="K75" s="32"/>
      <c r="L75" s="22"/>
      <c r="M75" s="23"/>
    </row>
    <row r="76" ht="12">
      <c r="E76" s="50"/>
    </row>
    <row r="77" spans="1:15" ht="12">
      <c r="A77" s="19" t="str">
        <f>$A$36</f>
        <v>Institution No.:  GFE</v>
      </c>
      <c r="E77" s="50"/>
      <c r="I77" s="17"/>
      <c r="J77" s="55"/>
      <c r="L77" s="17"/>
      <c r="M77" s="18" t="s">
        <v>117</v>
      </c>
      <c r="N77" s="5"/>
      <c r="O77" s="59"/>
    </row>
    <row r="78" spans="1:15" s="46" customFormat="1" ht="12">
      <c r="A78" s="262" t="s">
        <v>118</v>
      </c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60"/>
      <c r="O78" s="61"/>
    </row>
    <row r="79" spans="1:15" ht="12">
      <c r="A79" s="19" t="s">
        <v>664</v>
      </c>
      <c r="C79" s="7" t="s">
        <v>666</v>
      </c>
      <c r="J79" s="55"/>
      <c r="L79" s="17"/>
      <c r="M79" s="20" t="str">
        <f>$M$3</f>
        <v>Date: 10/1/2008</v>
      </c>
      <c r="N79" s="5"/>
      <c r="O79" s="59"/>
    </row>
    <row r="80" spans="1:13" ht="12">
      <c r="A80" s="21" t="s">
        <v>1</v>
      </c>
      <c r="B80" s="21" t="s">
        <v>1</v>
      </c>
      <c r="C80" s="21" t="s">
        <v>1</v>
      </c>
      <c r="D80" s="21" t="s">
        <v>1</v>
      </c>
      <c r="E80" s="21" t="s">
        <v>1</v>
      </c>
      <c r="F80" s="21" t="s">
        <v>1</v>
      </c>
      <c r="G80" s="21"/>
      <c r="H80" s="21"/>
      <c r="I80" s="22" t="s">
        <v>1</v>
      </c>
      <c r="J80" s="23" t="s">
        <v>1</v>
      </c>
      <c r="K80" s="21" t="s">
        <v>1</v>
      </c>
      <c r="L80" s="22" t="s">
        <v>1</v>
      </c>
      <c r="M80" s="23" t="s">
        <v>1</v>
      </c>
    </row>
    <row r="81" spans="1:13" ht="12">
      <c r="A81" s="24" t="s">
        <v>2</v>
      </c>
      <c r="E81" s="24" t="s">
        <v>2</v>
      </c>
      <c r="G81" s="25"/>
      <c r="H81" s="25" t="s">
        <v>249</v>
      </c>
      <c r="I81" s="26"/>
      <c r="J81" s="27" t="s">
        <v>251</v>
      </c>
      <c r="K81" s="25"/>
      <c r="L81" s="26"/>
      <c r="M81" s="27" t="s">
        <v>260</v>
      </c>
    </row>
    <row r="82" spans="1:13" ht="12">
      <c r="A82" s="24" t="s">
        <v>4</v>
      </c>
      <c r="E82" s="24" t="s">
        <v>4</v>
      </c>
      <c r="G82" s="25"/>
      <c r="H82" s="25" t="s">
        <v>7</v>
      </c>
      <c r="I82" s="26"/>
      <c r="J82" s="27" t="s">
        <v>7</v>
      </c>
      <c r="K82" s="25"/>
      <c r="L82" s="26"/>
      <c r="M82" s="27" t="s">
        <v>8</v>
      </c>
    </row>
    <row r="83" spans="1:13" ht="12">
      <c r="A83" s="21" t="s">
        <v>1</v>
      </c>
      <c r="B83" s="21" t="s">
        <v>1</v>
      </c>
      <c r="C83" s="21" t="s">
        <v>1</v>
      </c>
      <c r="D83" s="21" t="s">
        <v>1</v>
      </c>
      <c r="E83" s="21" t="s">
        <v>1</v>
      </c>
      <c r="F83" s="21" t="s">
        <v>1</v>
      </c>
      <c r="G83" s="21"/>
      <c r="H83" s="21"/>
      <c r="I83" s="22" t="s">
        <v>1</v>
      </c>
      <c r="J83" s="23" t="s">
        <v>1</v>
      </c>
      <c r="K83" s="21" t="s">
        <v>1</v>
      </c>
      <c r="L83" s="22" t="s">
        <v>1</v>
      </c>
      <c r="M83" s="23" t="s">
        <v>1</v>
      </c>
    </row>
    <row r="84" spans="1:13" ht="12">
      <c r="A84" s="11">
        <v>1</v>
      </c>
      <c r="C84" s="12" t="s">
        <v>119</v>
      </c>
      <c r="E84" s="11">
        <v>1</v>
      </c>
      <c r="H84" s="30"/>
      <c r="I84" s="17"/>
      <c r="J84" s="30"/>
      <c r="L84" s="17"/>
      <c r="M84" s="30"/>
    </row>
    <row r="85" spans="1:13" ht="12">
      <c r="A85" s="29" t="s">
        <v>207</v>
      </c>
      <c r="C85" s="12" t="s">
        <v>210</v>
      </c>
      <c r="E85" s="29" t="s">
        <v>207</v>
      </c>
      <c r="F85" s="36"/>
      <c r="G85" s="36"/>
      <c r="H85" s="62"/>
      <c r="I85" s="62"/>
      <c r="J85" s="63"/>
      <c r="K85" s="62"/>
      <c r="L85" s="62"/>
      <c r="M85" s="63"/>
    </row>
    <row r="86" spans="1:13" ht="12">
      <c r="A86" s="29" t="s">
        <v>208</v>
      </c>
      <c r="C86" s="12" t="s">
        <v>211</v>
      </c>
      <c r="E86" s="29" t="s">
        <v>208</v>
      </c>
      <c r="F86" s="36"/>
      <c r="G86" s="36"/>
      <c r="H86" s="63"/>
      <c r="I86" s="62"/>
      <c r="J86" s="63"/>
      <c r="K86" s="62"/>
      <c r="L86" s="62"/>
      <c r="M86" s="63">
        <v>0</v>
      </c>
    </row>
    <row r="87" spans="1:13" ht="12">
      <c r="A87" s="29" t="s">
        <v>209</v>
      </c>
      <c r="C87" s="12" t="s">
        <v>212</v>
      </c>
      <c r="E87" s="29" t="s">
        <v>209</v>
      </c>
      <c r="F87" s="36"/>
      <c r="G87" s="36"/>
      <c r="H87" s="63">
        <v>410</v>
      </c>
      <c r="I87" s="62"/>
      <c r="J87" s="63">
        <v>416</v>
      </c>
      <c r="K87" s="62"/>
      <c r="L87" s="62"/>
      <c r="M87" s="63">
        <v>405</v>
      </c>
    </row>
    <row r="88" spans="1:13" ht="12">
      <c r="A88" s="11">
        <v>3</v>
      </c>
      <c r="C88" s="12" t="s">
        <v>120</v>
      </c>
      <c r="E88" s="11">
        <v>3</v>
      </c>
      <c r="F88" s="36"/>
      <c r="G88" s="36"/>
      <c r="H88" s="63">
        <v>2169</v>
      </c>
      <c r="I88" s="62"/>
      <c r="J88" s="63">
        <v>2200</v>
      </c>
      <c r="K88" s="62"/>
      <c r="L88" s="62"/>
      <c r="M88" s="63">
        <v>2244</v>
      </c>
    </row>
    <row r="89" spans="1:13" ht="12">
      <c r="A89" s="11">
        <v>4</v>
      </c>
      <c r="C89" s="12" t="s">
        <v>121</v>
      </c>
      <c r="E89" s="11">
        <v>4</v>
      </c>
      <c r="F89" s="36"/>
      <c r="G89" s="36"/>
      <c r="H89" s="63">
        <f>SUM(H87:H88)</f>
        <v>2579</v>
      </c>
      <c r="I89" s="62"/>
      <c r="J89" s="63">
        <f>SUM(J87:J88)</f>
        <v>2616</v>
      </c>
      <c r="K89" s="62"/>
      <c r="L89" s="62"/>
      <c r="M89" s="63">
        <f>SUM(M87:M88)</f>
        <v>2649</v>
      </c>
    </row>
    <row r="90" spans="1:13" ht="12">
      <c r="A90" s="11">
        <v>5</v>
      </c>
      <c r="E90" s="11">
        <v>5</v>
      </c>
      <c r="F90" s="36"/>
      <c r="G90" s="36"/>
      <c r="H90" s="63"/>
      <c r="I90" s="62"/>
      <c r="J90" s="63"/>
      <c r="K90" s="62"/>
      <c r="L90" s="62"/>
      <c r="M90" s="63"/>
    </row>
    <row r="91" spans="1:13" ht="12">
      <c r="A91" s="11">
        <v>6</v>
      </c>
      <c r="C91" s="12" t="s">
        <v>122</v>
      </c>
      <c r="E91" s="11">
        <v>6</v>
      </c>
      <c r="F91" s="36"/>
      <c r="G91" s="36"/>
      <c r="H91" s="63">
        <v>11</v>
      </c>
      <c r="I91" s="62"/>
      <c r="J91" s="63">
        <v>14</v>
      </c>
      <c r="K91" s="62"/>
      <c r="L91" s="62"/>
      <c r="M91" s="63">
        <v>9</v>
      </c>
    </row>
    <row r="92" spans="1:13" ht="12">
      <c r="A92" s="11">
        <v>7</v>
      </c>
      <c r="C92" s="12" t="s">
        <v>123</v>
      </c>
      <c r="E92" s="11">
        <v>7</v>
      </c>
      <c r="F92" s="36"/>
      <c r="G92" s="36"/>
      <c r="H92" s="63">
        <v>307</v>
      </c>
      <c r="I92" s="62"/>
      <c r="J92" s="63">
        <v>349</v>
      </c>
      <c r="K92" s="62"/>
      <c r="L92" s="62"/>
      <c r="M92" s="63">
        <v>373</v>
      </c>
    </row>
    <row r="93" spans="1:13" ht="12">
      <c r="A93" s="11">
        <v>8</v>
      </c>
      <c r="C93" s="12" t="s">
        <v>124</v>
      </c>
      <c r="E93" s="11">
        <v>8</v>
      </c>
      <c r="F93" s="36"/>
      <c r="G93" s="36"/>
      <c r="H93" s="63">
        <f>SUM(H91:H92)</f>
        <v>318</v>
      </c>
      <c r="I93" s="62"/>
      <c r="J93" s="63">
        <f>SUM(J91:J92)</f>
        <v>363</v>
      </c>
      <c r="K93" s="62"/>
      <c r="L93" s="62"/>
      <c r="M93" s="63">
        <f>SUM(M91:M92)</f>
        <v>382</v>
      </c>
    </row>
    <row r="94" spans="1:13" ht="12">
      <c r="A94" s="11">
        <v>9</v>
      </c>
      <c r="E94" s="11">
        <v>9</v>
      </c>
      <c r="F94" s="36"/>
      <c r="G94" s="36"/>
      <c r="H94" s="63"/>
      <c r="I94" s="62"/>
      <c r="J94" s="63"/>
      <c r="K94" s="62"/>
      <c r="L94" s="62"/>
      <c r="M94" s="63"/>
    </row>
    <row r="95" spans="1:13" ht="12">
      <c r="A95" s="11">
        <v>10</v>
      </c>
      <c r="C95" s="12" t="s">
        <v>125</v>
      </c>
      <c r="E95" s="11">
        <v>10</v>
      </c>
      <c r="F95" s="36"/>
      <c r="G95" s="36"/>
      <c r="H95" s="63">
        <f>H87+H91</f>
        <v>421</v>
      </c>
      <c r="I95" s="62"/>
      <c r="J95" s="63">
        <f>J87+J91</f>
        <v>430</v>
      </c>
      <c r="K95" s="62"/>
      <c r="L95" s="62"/>
      <c r="M95" s="63">
        <f>M87+M91</f>
        <v>414</v>
      </c>
    </row>
    <row r="96" spans="1:13" ht="12">
      <c r="A96" s="11">
        <v>11</v>
      </c>
      <c r="C96" s="12" t="s">
        <v>126</v>
      </c>
      <c r="E96" s="11">
        <v>11</v>
      </c>
      <c r="F96" s="36"/>
      <c r="G96" s="36"/>
      <c r="H96" s="63">
        <f>H88+H92</f>
        <v>2476</v>
      </c>
      <c r="I96" s="62"/>
      <c r="J96" s="63">
        <f>J88+J92</f>
        <v>2549</v>
      </c>
      <c r="K96" s="62"/>
      <c r="L96" s="62"/>
      <c r="M96" s="63">
        <f>M88+M92</f>
        <v>2617</v>
      </c>
    </row>
    <row r="97" spans="1:13" ht="12">
      <c r="A97" s="11">
        <v>12</v>
      </c>
      <c r="C97" s="12" t="s">
        <v>127</v>
      </c>
      <c r="E97" s="11">
        <v>12</v>
      </c>
      <c r="F97" s="36"/>
      <c r="G97" s="36"/>
      <c r="H97" s="63">
        <f>H95+H96</f>
        <v>2897</v>
      </c>
      <c r="I97" s="62"/>
      <c r="J97" s="63">
        <f>J95+J96</f>
        <v>2979</v>
      </c>
      <c r="K97" s="62"/>
      <c r="L97" s="62"/>
      <c r="M97" s="63">
        <f>M95+M96</f>
        <v>3031</v>
      </c>
    </row>
    <row r="98" spans="1:13" ht="12">
      <c r="A98" s="11">
        <v>13</v>
      </c>
      <c r="E98" s="11">
        <v>13</v>
      </c>
      <c r="H98" s="64"/>
      <c r="I98" s="62"/>
      <c r="J98" s="64"/>
      <c r="K98" s="65"/>
      <c r="L98" s="62"/>
      <c r="M98" s="64"/>
    </row>
    <row r="99" spans="1:13" ht="12">
      <c r="A99" s="11">
        <v>15</v>
      </c>
      <c r="C99" s="12" t="s">
        <v>128</v>
      </c>
      <c r="E99" s="11">
        <v>15</v>
      </c>
      <c r="H99" s="66"/>
      <c r="I99" s="62"/>
      <c r="J99" s="66"/>
      <c r="K99" s="65"/>
      <c r="L99" s="62"/>
      <c r="M99" s="66"/>
    </row>
    <row r="100" spans="1:13" ht="12">
      <c r="A100" s="11">
        <v>16</v>
      </c>
      <c r="C100" s="12" t="s">
        <v>188</v>
      </c>
      <c r="E100" s="11">
        <v>16</v>
      </c>
      <c r="H100" s="64">
        <f>(H72-H372)/H97</f>
        <v>34842.68726268554</v>
      </c>
      <c r="I100" s="62"/>
      <c r="J100" s="64">
        <f>(J72-J372)/J97</f>
        <v>38366.70258475999</v>
      </c>
      <c r="K100" s="65"/>
      <c r="L100" s="62"/>
      <c r="M100" s="64">
        <f>(M72-M372)/M97</f>
        <v>43669.359287363906</v>
      </c>
    </row>
    <row r="101" spans="1:13" ht="12">
      <c r="A101" s="11">
        <v>17</v>
      </c>
      <c r="C101" s="12" t="s">
        <v>250</v>
      </c>
      <c r="E101" s="11">
        <v>17</v>
      </c>
      <c r="H101" s="64">
        <v>2580</v>
      </c>
      <c r="I101" s="62"/>
      <c r="J101" s="65">
        <v>2670</v>
      </c>
      <c r="K101" s="65"/>
      <c r="L101" s="62"/>
      <c r="M101" s="65">
        <v>2760</v>
      </c>
    </row>
    <row r="102" spans="1:13" ht="12">
      <c r="A102" s="11">
        <v>18</v>
      </c>
      <c r="E102" s="11">
        <v>18</v>
      </c>
      <c r="H102" s="64"/>
      <c r="I102" s="62"/>
      <c r="J102" s="65"/>
      <c r="K102" s="65"/>
      <c r="L102" s="62"/>
      <c r="M102" s="65"/>
    </row>
    <row r="103" spans="1:13" ht="12">
      <c r="A103" s="7">
        <v>19</v>
      </c>
      <c r="C103" s="12" t="s">
        <v>129</v>
      </c>
      <c r="E103" s="7">
        <v>19</v>
      </c>
      <c r="H103" s="64"/>
      <c r="I103" s="62"/>
      <c r="J103" s="65"/>
      <c r="K103" s="65"/>
      <c r="L103" s="62"/>
      <c r="M103" s="65"/>
    </row>
    <row r="104" spans="1:13" ht="12">
      <c r="A104" s="11">
        <v>20</v>
      </c>
      <c r="C104" s="12" t="s">
        <v>130</v>
      </c>
      <c r="E104" s="11">
        <v>20</v>
      </c>
      <c r="F104" s="13"/>
      <c r="G104" s="13"/>
      <c r="H104" s="67">
        <f>G466</f>
        <v>335.08</v>
      </c>
      <c r="I104" s="2"/>
      <c r="J104" s="67">
        <f>I466</f>
        <v>377.85861127100236</v>
      </c>
      <c r="K104" s="2"/>
      <c r="L104" s="2"/>
      <c r="M104" s="67">
        <f>L466</f>
        <v>428.38</v>
      </c>
    </row>
    <row r="105" spans="1:13" ht="12">
      <c r="A105" s="11">
        <v>21</v>
      </c>
      <c r="C105" s="12" t="s">
        <v>131</v>
      </c>
      <c r="E105" s="11">
        <v>21</v>
      </c>
      <c r="F105" s="13"/>
      <c r="G105" s="13"/>
      <c r="H105" s="67">
        <f>G463</f>
        <v>286.34</v>
      </c>
      <c r="I105" s="2"/>
      <c r="J105" s="67">
        <f>I463</f>
        <v>342.2319340255353</v>
      </c>
      <c r="K105" s="2"/>
      <c r="L105" s="2"/>
      <c r="M105" s="67">
        <f>L463</f>
        <v>397.25</v>
      </c>
    </row>
    <row r="106" spans="1:13" ht="12">
      <c r="A106" s="11">
        <v>22</v>
      </c>
      <c r="C106" s="12" t="s">
        <v>132</v>
      </c>
      <c r="E106" s="11">
        <v>22</v>
      </c>
      <c r="F106" s="13"/>
      <c r="G106" s="13"/>
      <c r="H106" s="67">
        <f>G465</f>
        <v>48.74</v>
      </c>
      <c r="I106" s="2"/>
      <c r="J106" s="67">
        <f>I465</f>
        <v>35.626677245467064</v>
      </c>
      <c r="K106" s="2"/>
      <c r="L106" s="2"/>
      <c r="M106" s="67">
        <f>L465</f>
        <v>31.13</v>
      </c>
    </row>
    <row r="107" spans="1:13" ht="12">
      <c r="A107" s="11">
        <v>23</v>
      </c>
      <c r="E107" s="11">
        <v>23</v>
      </c>
      <c r="F107" s="13"/>
      <c r="G107" s="13"/>
      <c r="H107" s="2"/>
      <c r="I107" s="2"/>
      <c r="J107" s="67"/>
      <c r="K107" s="2"/>
      <c r="L107" s="2"/>
      <c r="M107" s="2"/>
    </row>
    <row r="108" spans="1:13" ht="12">
      <c r="A108" s="11">
        <v>24</v>
      </c>
      <c r="C108" s="12" t="s">
        <v>133</v>
      </c>
      <c r="E108" s="11">
        <v>24</v>
      </c>
      <c r="F108" s="13"/>
      <c r="G108" s="13"/>
      <c r="H108" s="2"/>
      <c r="I108" s="2"/>
      <c r="J108" s="2"/>
      <c r="K108" s="2"/>
      <c r="L108" s="2"/>
      <c r="M108" s="2"/>
    </row>
    <row r="109" spans="1:13" ht="12">
      <c r="A109" s="11">
        <v>25</v>
      </c>
      <c r="C109" s="12" t="s">
        <v>134</v>
      </c>
      <c r="E109" s="11">
        <v>25</v>
      </c>
      <c r="H109" s="65">
        <f>IF(G466=0,0,H466/G466)</f>
        <v>116392.57789184673</v>
      </c>
      <c r="I109" s="62"/>
      <c r="J109" s="65">
        <f>IF(I466=0,0,J466/I466)</f>
        <v>116747.55499580539</v>
      </c>
      <c r="K109" s="65"/>
      <c r="L109" s="62"/>
      <c r="M109" s="65">
        <f>IF(L466=0,0,M466/L466)</f>
        <v>121980.86045100146</v>
      </c>
    </row>
    <row r="110" spans="1:13" ht="12">
      <c r="A110" s="11">
        <v>26</v>
      </c>
      <c r="C110" s="12" t="s">
        <v>135</v>
      </c>
      <c r="E110" s="11">
        <v>26</v>
      </c>
      <c r="H110" s="65">
        <f>IF(H105=0,0,(H463+H464)/H105)</f>
        <v>129130.29265907663</v>
      </c>
      <c r="I110" s="62"/>
      <c r="J110" s="65">
        <f>IF(J105=0,0,(J463+J464)/J105)</f>
        <v>124440.05005337225</v>
      </c>
      <c r="K110" s="65"/>
      <c r="L110" s="62"/>
      <c r="M110" s="65">
        <f>IF(M105=0,0,(M463+M464)/M105)</f>
        <v>128013.70421648836</v>
      </c>
    </row>
    <row r="111" spans="1:13" ht="12">
      <c r="A111" s="11">
        <v>27</v>
      </c>
      <c r="C111" s="12" t="s">
        <v>136</v>
      </c>
      <c r="E111" s="11">
        <v>27</v>
      </c>
      <c r="H111" s="65">
        <f>IF(H106=0,0,H465/H106)</f>
        <v>41560.463684858434</v>
      </c>
      <c r="I111" s="62"/>
      <c r="J111" s="65">
        <f>IF(J106=0,0,J465/J106)</f>
        <v>42853</v>
      </c>
      <c r="K111" s="65"/>
      <c r="L111" s="62"/>
      <c r="M111" s="65">
        <f>IF(M106=0,0,M465/M106)</f>
        <v>44995.72759396081</v>
      </c>
    </row>
    <row r="112" spans="1:13" ht="12">
      <c r="A112" s="11">
        <v>28</v>
      </c>
      <c r="E112" s="11">
        <v>28</v>
      </c>
      <c r="H112" s="65"/>
      <c r="I112" s="62"/>
      <c r="J112" s="65"/>
      <c r="K112" s="65"/>
      <c r="L112" s="62"/>
      <c r="M112" s="65"/>
    </row>
    <row r="113" spans="1:13" ht="12">
      <c r="A113" s="11">
        <v>29</v>
      </c>
      <c r="C113" s="12" t="s">
        <v>137</v>
      </c>
      <c r="E113" s="11">
        <v>29</v>
      </c>
      <c r="F113" s="68"/>
      <c r="G113" s="68"/>
      <c r="H113" s="63">
        <f>G54</f>
        <v>1098.1599999999999</v>
      </c>
      <c r="I113" s="62"/>
      <c r="J113" s="63">
        <f>I54</f>
        <v>1126.9900985421027</v>
      </c>
      <c r="K113" s="62"/>
      <c r="L113" s="62"/>
      <c r="M113" s="63">
        <f>L54</f>
        <v>1183.76</v>
      </c>
    </row>
    <row r="114" spans="1:13" ht="12">
      <c r="A114" s="12"/>
      <c r="J114" s="55"/>
      <c r="M114" s="55"/>
    </row>
    <row r="115" spans="1:13" ht="12">
      <c r="A115" s="12"/>
      <c r="J115" s="55"/>
      <c r="M115" s="55"/>
    </row>
    <row r="116" spans="1:13" ht="12">
      <c r="A116" s="12"/>
      <c r="J116" s="55"/>
      <c r="M116" s="55"/>
    </row>
    <row r="117" spans="1:13" ht="12">
      <c r="A117" s="12"/>
      <c r="J117" s="55"/>
      <c r="M117" s="55"/>
    </row>
    <row r="118" spans="1:13" ht="12">
      <c r="A118" s="12"/>
      <c r="J118" s="55"/>
      <c r="M118" s="55"/>
    </row>
    <row r="119" spans="1:13" ht="12">
      <c r="A119" s="12"/>
      <c r="J119" s="55"/>
      <c r="M119" s="55"/>
    </row>
    <row r="120" spans="1:13" ht="12">
      <c r="A120" s="12"/>
      <c r="J120" s="55"/>
      <c r="M120" s="55"/>
    </row>
    <row r="121" spans="1:13" ht="12">
      <c r="A121" s="12"/>
      <c r="J121" s="55"/>
      <c r="M121" s="55"/>
    </row>
    <row r="122" spans="1:13" ht="12">
      <c r="A122" s="12"/>
      <c r="J122" s="55"/>
      <c r="M122" s="55"/>
    </row>
    <row r="123" spans="1:13" ht="12">
      <c r="A123" s="12"/>
      <c r="J123" s="55"/>
      <c r="M123" s="55"/>
    </row>
    <row r="124" spans="1:13" ht="12">
      <c r="A124" s="12"/>
      <c r="J124" s="55"/>
      <c r="M124" s="55"/>
    </row>
    <row r="125" spans="1:13" ht="12">
      <c r="A125" s="12"/>
      <c r="J125" s="55"/>
      <c r="M125" s="55"/>
    </row>
    <row r="126" spans="5:15" ht="12">
      <c r="E126" s="50"/>
      <c r="I126" s="17"/>
      <c r="J126" s="55"/>
      <c r="K126" s="5"/>
      <c r="M126" s="55"/>
      <c r="O126" s="59"/>
    </row>
    <row r="127" spans="1:15" ht="12">
      <c r="A127" s="19" t="str">
        <f>$A$36</f>
        <v>Institution No.:  GFE</v>
      </c>
      <c r="E127" s="50"/>
      <c r="I127" s="17"/>
      <c r="J127" s="55"/>
      <c r="L127" s="17"/>
      <c r="M127" s="18" t="s">
        <v>138</v>
      </c>
      <c r="N127" s="5"/>
      <c r="O127" s="59"/>
    </row>
    <row r="128" spans="1:15" s="46" customFormat="1" ht="12">
      <c r="A128" s="262" t="s">
        <v>161</v>
      </c>
      <c r="B128" s="26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60"/>
      <c r="O128" s="61"/>
    </row>
    <row r="129" spans="1:15" ht="12">
      <c r="A129" s="19" t="s">
        <v>664</v>
      </c>
      <c r="C129" s="7" t="s">
        <v>666</v>
      </c>
      <c r="J129" s="55"/>
      <c r="L129" s="17"/>
      <c r="M129" s="20" t="str">
        <f>$M$3</f>
        <v>Date: 10/1/2008</v>
      </c>
      <c r="N129" s="5"/>
      <c r="O129" s="59"/>
    </row>
    <row r="130" spans="1:13" ht="12">
      <c r="A130" s="21" t="s">
        <v>1</v>
      </c>
      <c r="B130" s="21" t="s">
        <v>1</v>
      </c>
      <c r="C130" s="21" t="s">
        <v>1</v>
      </c>
      <c r="D130" s="21" t="s">
        <v>1</v>
      </c>
      <c r="E130" s="21" t="s">
        <v>1</v>
      </c>
      <c r="F130" s="21" t="s">
        <v>1</v>
      </c>
      <c r="G130" s="21"/>
      <c r="H130" s="21"/>
      <c r="I130" s="22" t="s">
        <v>1</v>
      </c>
      <c r="J130" s="23" t="s">
        <v>1</v>
      </c>
      <c r="K130" s="21" t="s">
        <v>1</v>
      </c>
      <c r="L130" s="22" t="s">
        <v>1</v>
      </c>
      <c r="M130" s="23" t="s">
        <v>1</v>
      </c>
    </row>
    <row r="131" spans="1:13" ht="12">
      <c r="A131" s="24" t="s">
        <v>2</v>
      </c>
      <c r="E131" s="24" t="s">
        <v>2</v>
      </c>
      <c r="H131" s="25" t="s">
        <v>249</v>
      </c>
      <c r="I131" s="26"/>
      <c r="J131" s="27" t="s">
        <v>251</v>
      </c>
      <c r="K131" s="25"/>
      <c r="L131" s="26"/>
      <c r="M131" s="27" t="s">
        <v>260</v>
      </c>
    </row>
    <row r="132" spans="1:13" ht="12">
      <c r="A132" s="24" t="s">
        <v>4</v>
      </c>
      <c r="C132" s="12" t="s">
        <v>0</v>
      </c>
      <c r="E132" s="24" t="s">
        <v>4</v>
      </c>
      <c r="H132" s="25" t="s">
        <v>7</v>
      </c>
      <c r="I132" s="26"/>
      <c r="J132" s="27" t="s">
        <v>7</v>
      </c>
      <c r="K132" s="25"/>
      <c r="L132" s="26"/>
      <c r="M132" s="27" t="s">
        <v>8</v>
      </c>
    </row>
    <row r="133" spans="1:13" ht="12">
      <c r="A133" s="21" t="s">
        <v>1</v>
      </c>
      <c r="B133" s="21" t="s">
        <v>1</v>
      </c>
      <c r="C133" s="21" t="s">
        <v>1</v>
      </c>
      <c r="D133" s="21" t="s">
        <v>1</v>
      </c>
      <c r="E133" s="21" t="s">
        <v>1</v>
      </c>
      <c r="F133" s="21" t="s">
        <v>1</v>
      </c>
      <c r="G133" s="21"/>
      <c r="H133" s="21"/>
      <c r="I133" s="22" t="s">
        <v>1</v>
      </c>
      <c r="J133" s="23" t="s">
        <v>1</v>
      </c>
      <c r="K133" s="21" t="s">
        <v>1</v>
      </c>
      <c r="L133" s="22" t="s">
        <v>1</v>
      </c>
      <c r="M133" s="23" t="s">
        <v>1</v>
      </c>
    </row>
    <row r="134" spans="1:13" ht="12">
      <c r="A134" s="11">
        <v>1</v>
      </c>
      <c r="C134" s="12" t="s">
        <v>139</v>
      </c>
      <c r="E134" s="11">
        <v>1</v>
      </c>
      <c r="H134" s="65"/>
      <c r="I134" s="62"/>
      <c r="J134" s="62"/>
      <c r="K134" s="65"/>
      <c r="L134" s="69"/>
      <c r="M134" s="163"/>
    </row>
    <row r="135" spans="1:13" ht="12">
      <c r="A135" s="11">
        <f aca="true" t="shared" si="2" ref="A135:A161">(A134+1)</f>
        <v>2</v>
      </c>
      <c r="C135" s="12" t="s">
        <v>140</v>
      </c>
      <c r="E135" s="11">
        <f aca="true" t="shared" si="3" ref="E135:E161">(E134+1)</f>
        <v>2</v>
      </c>
      <c r="F135" s="36"/>
      <c r="G135" s="36"/>
      <c r="H135" s="62"/>
      <c r="I135" s="62"/>
      <c r="J135" s="62"/>
      <c r="K135" s="62"/>
      <c r="L135" s="69"/>
      <c r="M135" s="160"/>
    </row>
    <row r="136" spans="1:13" ht="12">
      <c r="A136" s="11">
        <f t="shared" si="2"/>
        <v>3</v>
      </c>
      <c r="C136" s="12" t="s">
        <v>141</v>
      </c>
      <c r="E136" s="11">
        <f t="shared" si="3"/>
        <v>3</v>
      </c>
      <c r="F136" s="36"/>
      <c r="G136" s="36"/>
      <c r="H136" s="62"/>
      <c r="I136" s="62"/>
      <c r="J136" s="62"/>
      <c r="K136" s="62"/>
      <c r="L136" s="69"/>
      <c r="M136" s="160"/>
    </row>
    <row r="137" spans="1:13" ht="12">
      <c r="A137" s="11">
        <f t="shared" si="2"/>
        <v>4</v>
      </c>
      <c r="C137" s="12" t="s">
        <v>615</v>
      </c>
      <c r="E137" s="11">
        <f t="shared" si="3"/>
        <v>4</v>
      </c>
      <c r="F137" s="36"/>
      <c r="G137" s="36"/>
      <c r="H137" s="62">
        <f>9090</f>
        <v>9090</v>
      </c>
      <c r="I137" s="62"/>
      <c r="J137" s="62">
        <f>(3135*3)</f>
        <v>9405</v>
      </c>
      <c r="K137" s="62"/>
      <c r="L137" s="69"/>
      <c r="M137" s="160">
        <f>(3240*3)</f>
        <v>9720</v>
      </c>
    </row>
    <row r="138" spans="1:13" ht="12">
      <c r="A138" s="11">
        <f t="shared" si="2"/>
        <v>5</v>
      </c>
      <c r="C138" s="7" t="s">
        <v>616</v>
      </c>
      <c r="E138" s="11">
        <f t="shared" si="3"/>
        <v>5</v>
      </c>
      <c r="F138" s="36"/>
      <c r="G138" s="36"/>
      <c r="H138" s="62">
        <f>10755</f>
        <v>10755</v>
      </c>
      <c r="I138" s="62"/>
      <c r="J138" s="62">
        <f>(3705*3)</f>
        <v>11115</v>
      </c>
      <c r="K138" s="62"/>
      <c r="L138" s="69"/>
      <c r="M138" s="160">
        <f>(4050*3)</f>
        <v>12150</v>
      </c>
    </row>
    <row r="139" spans="1:13" ht="12">
      <c r="A139" s="11">
        <f t="shared" si="2"/>
        <v>6</v>
      </c>
      <c r="C139" s="12" t="s">
        <v>0</v>
      </c>
      <c r="E139" s="11">
        <f t="shared" si="3"/>
        <v>6</v>
      </c>
      <c r="F139" s="36"/>
      <c r="G139" s="36"/>
      <c r="H139" s="62"/>
      <c r="I139" s="62"/>
      <c r="J139" s="62"/>
      <c r="K139" s="62"/>
      <c r="L139" s="69"/>
      <c r="M139" s="160"/>
    </row>
    <row r="140" spans="1:13" ht="12">
      <c r="A140" s="11">
        <f t="shared" si="2"/>
        <v>7</v>
      </c>
      <c r="C140" s="12" t="s">
        <v>0</v>
      </c>
      <c r="E140" s="11">
        <f t="shared" si="3"/>
        <v>7</v>
      </c>
      <c r="F140" s="36"/>
      <c r="G140" s="36"/>
      <c r="H140" s="62"/>
      <c r="I140" s="62"/>
      <c r="J140" s="62"/>
      <c r="K140" s="62"/>
      <c r="L140" s="69"/>
      <c r="M140" s="182" t="s">
        <v>0</v>
      </c>
    </row>
    <row r="141" spans="1:13" ht="12">
      <c r="A141" s="11">
        <f t="shared" si="2"/>
        <v>8</v>
      </c>
      <c r="E141" s="11">
        <f t="shared" si="3"/>
        <v>8</v>
      </c>
      <c r="H141" s="65"/>
      <c r="I141" s="62"/>
      <c r="J141" s="62"/>
      <c r="K141" s="65"/>
      <c r="L141" s="69"/>
      <c r="M141" s="160"/>
    </row>
    <row r="142" spans="1:13" ht="12">
      <c r="A142" s="11">
        <f t="shared" si="2"/>
        <v>9</v>
      </c>
      <c r="C142" s="12" t="s">
        <v>0</v>
      </c>
      <c r="E142" s="11">
        <f t="shared" si="3"/>
        <v>9</v>
      </c>
      <c r="H142" s="65"/>
      <c r="I142" s="62"/>
      <c r="J142" s="62"/>
      <c r="K142" s="65"/>
      <c r="L142" s="69"/>
      <c r="M142" s="160"/>
    </row>
    <row r="143" spans="1:13" ht="12">
      <c r="A143" s="11">
        <f t="shared" si="2"/>
        <v>10</v>
      </c>
      <c r="C143" s="12" t="s">
        <v>0</v>
      </c>
      <c r="E143" s="11">
        <f t="shared" si="3"/>
        <v>10</v>
      </c>
      <c r="H143" s="65"/>
      <c r="I143" s="62"/>
      <c r="J143" s="62"/>
      <c r="K143" s="65"/>
      <c r="L143" s="69"/>
      <c r="M143" s="160"/>
    </row>
    <row r="144" spans="1:13" ht="12">
      <c r="A144" s="11">
        <f t="shared" si="2"/>
        <v>11</v>
      </c>
      <c r="C144" s="12" t="s">
        <v>142</v>
      </c>
      <c r="E144" s="11">
        <f t="shared" si="3"/>
        <v>11</v>
      </c>
      <c r="H144" s="65"/>
      <c r="I144" s="62"/>
      <c r="J144" s="62"/>
      <c r="K144" s="65"/>
      <c r="L144" s="69"/>
      <c r="M144" s="160"/>
    </row>
    <row r="145" spans="1:13" ht="12">
      <c r="A145" s="11">
        <f t="shared" si="2"/>
        <v>12</v>
      </c>
      <c r="C145" s="12" t="s">
        <v>140</v>
      </c>
      <c r="E145" s="11">
        <f t="shared" si="3"/>
        <v>12</v>
      </c>
      <c r="H145" s="65"/>
      <c r="I145" s="62"/>
      <c r="J145" s="62"/>
      <c r="K145" s="65"/>
      <c r="L145" s="69"/>
      <c r="M145" s="160"/>
    </row>
    <row r="146" spans="1:13" ht="12">
      <c r="A146" s="11">
        <f t="shared" si="2"/>
        <v>13</v>
      </c>
      <c r="C146" s="12" t="s">
        <v>141</v>
      </c>
      <c r="E146" s="11">
        <f t="shared" si="3"/>
        <v>13</v>
      </c>
      <c r="H146" s="65"/>
      <c r="I146" s="62"/>
      <c r="J146" s="62"/>
      <c r="K146" s="65"/>
      <c r="L146" s="69"/>
      <c r="M146" s="160"/>
    </row>
    <row r="147" spans="1:13" ht="12">
      <c r="A147" s="11">
        <f t="shared" si="2"/>
        <v>14</v>
      </c>
      <c r="C147" s="12" t="s">
        <v>617</v>
      </c>
      <c r="E147" s="11">
        <f t="shared" si="3"/>
        <v>14</v>
      </c>
      <c r="F147" s="13"/>
      <c r="G147" s="13"/>
      <c r="H147" s="2">
        <v>5535</v>
      </c>
      <c r="I147" s="2"/>
      <c r="J147" s="2">
        <f>1875*3</f>
        <v>5625</v>
      </c>
      <c r="K147" s="2"/>
      <c r="L147" s="71"/>
      <c r="M147" s="162">
        <f>1935*3</f>
        <v>5805</v>
      </c>
    </row>
    <row r="148" spans="1:13" ht="12">
      <c r="A148" s="11">
        <f t="shared" si="2"/>
        <v>15</v>
      </c>
      <c r="C148" s="12" t="s">
        <v>618</v>
      </c>
      <c r="E148" s="11">
        <f t="shared" si="3"/>
        <v>15</v>
      </c>
      <c r="F148" s="13"/>
      <c r="G148" s="13"/>
      <c r="H148" s="2"/>
      <c r="I148" s="2"/>
      <c r="J148" s="2">
        <v>0</v>
      </c>
      <c r="K148" s="2"/>
      <c r="L148" s="71"/>
      <c r="M148" s="162">
        <f>7275*3</f>
        <v>21825</v>
      </c>
    </row>
    <row r="149" spans="1:13" ht="12">
      <c r="A149" s="11">
        <f t="shared" si="2"/>
        <v>16</v>
      </c>
      <c r="C149" s="12" t="s">
        <v>616</v>
      </c>
      <c r="E149" s="11">
        <f t="shared" si="3"/>
        <v>16</v>
      </c>
      <c r="F149" s="13"/>
      <c r="G149" s="13"/>
      <c r="H149" s="2">
        <v>16290</v>
      </c>
      <c r="I149" s="2"/>
      <c r="J149" s="2">
        <f>5625*3</f>
        <v>16875</v>
      </c>
      <c r="K149" s="2"/>
      <c r="L149" s="71"/>
      <c r="M149" s="162">
        <f>6000*3</f>
        <v>18000</v>
      </c>
    </row>
    <row r="150" spans="1:13" ht="12">
      <c r="A150" s="11">
        <f t="shared" si="2"/>
        <v>17</v>
      </c>
      <c r="C150" s="12" t="s">
        <v>619</v>
      </c>
      <c r="E150" s="11">
        <f t="shared" si="3"/>
        <v>17</v>
      </c>
      <c r="F150" s="13"/>
      <c r="G150" s="13"/>
      <c r="H150" s="2">
        <v>3321</v>
      </c>
      <c r="I150" s="2"/>
      <c r="J150" s="2">
        <f>1125*3</f>
        <v>3375</v>
      </c>
      <c r="K150" s="2"/>
      <c r="L150" s="71"/>
      <c r="M150" s="162">
        <f>1161*3</f>
        <v>3483</v>
      </c>
    </row>
    <row r="151" spans="1:13" ht="12">
      <c r="A151" s="11">
        <f t="shared" si="2"/>
        <v>18</v>
      </c>
      <c r="C151" s="12" t="s">
        <v>0</v>
      </c>
      <c r="E151" s="11">
        <f t="shared" si="3"/>
        <v>18</v>
      </c>
      <c r="F151" s="13"/>
      <c r="G151" s="13"/>
      <c r="H151" s="2"/>
      <c r="I151" s="2"/>
      <c r="J151" s="2"/>
      <c r="K151" s="2"/>
      <c r="L151" s="71"/>
      <c r="M151" s="162"/>
    </row>
    <row r="152" spans="1:13" ht="12">
      <c r="A152" s="11">
        <f t="shared" si="2"/>
        <v>19</v>
      </c>
      <c r="E152" s="11">
        <f t="shared" si="3"/>
        <v>19</v>
      </c>
      <c r="H152" s="65"/>
      <c r="I152" s="62"/>
      <c r="J152" s="62"/>
      <c r="K152" s="65"/>
      <c r="L152" s="69"/>
      <c r="M152" s="160"/>
    </row>
    <row r="153" spans="1:13" ht="12">
      <c r="A153" s="11">
        <f t="shared" si="2"/>
        <v>20</v>
      </c>
      <c r="E153" s="11">
        <f t="shared" si="3"/>
        <v>20</v>
      </c>
      <c r="H153" s="65"/>
      <c r="I153" s="62"/>
      <c r="J153" s="62"/>
      <c r="K153" s="65"/>
      <c r="L153" s="69"/>
      <c r="M153" s="160"/>
    </row>
    <row r="154" spans="1:13" ht="12">
      <c r="A154" s="11">
        <f t="shared" si="2"/>
        <v>21</v>
      </c>
      <c r="C154" s="12" t="s">
        <v>143</v>
      </c>
      <c r="E154" s="11">
        <f t="shared" si="3"/>
        <v>21</v>
      </c>
      <c r="H154" s="65"/>
      <c r="I154" s="62"/>
      <c r="J154" s="62"/>
      <c r="K154" s="65"/>
      <c r="L154" s="69"/>
      <c r="M154" s="160"/>
    </row>
    <row r="155" spans="1:13" ht="12">
      <c r="A155" s="11">
        <f t="shared" si="2"/>
        <v>22</v>
      </c>
      <c r="C155" s="12" t="s">
        <v>140</v>
      </c>
      <c r="E155" s="11">
        <f t="shared" si="3"/>
        <v>22</v>
      </c>
      <c r="H155" s="65"/>
      <c r="I155" s="62"/>
      <c r="J155" s="62"/>
      <c r="K155" s="65"/>
      <c r="L155" s="69"/>
      <c r="M155" s="160"/>
    </row>
    <row r="156" spans="1:13" ht="12">
      <c r="A156" s="11">
        <f t="shared" si="2"/>
        <v>23</v>
      </c>
      <c r="C156" s="12" t="s">
        <v>141</v>
      </c>
      <c r="E156" s="11">
        <f t="shared" si="3"/>
        <v>23</v>
      </c>
      <c r="H156" s="65"/>
      <c r="I156" s="62"/>
      <c r="J156" s="62"/>
      <c r="K156" s="65"/>
      <c r="L156" s="69"/>
      <c r="M156" s="163"/>
    </row>
    <row r="157" spans="1:13" ht="12">
      <c r="A157" s="11">
        <f t="shared" si="2"/>
        <v>24</v>
      </c>
      <c r="C157" s="12" t="s">
        <v>620</v>
      </c>
      <c r="E157" s="11">
        <f t="shared" si="3"/>
        <v>24</v>
      </c>
      <c r="H157" s="65">
        <v>22583</v>
      </c>
      <c r="I157" s="62"/>
      <c r="J157" s="62">
        <v>23373</v>
      </c>
      <c r="K157" s="65"/>
      <c r="L157" s="69"/>
      <c r="M157" s="163">
        <v>25009</v>
      </c>
    </row>
    <row r="158" spans="1:13" ht="12">
      <c r="A158" s="11">
        <f t="shared" si="2"/>
        <v>25</v>
      </c>
      <c r="C158" s="7" t="s">
        <v>621</v>
      </c>
      <c r="E158" s="11">
        <f t="shared" si="3"/>
        <v>25</v>
      </c>
      <c r="H158" s="65">
        <v>15615</v>
      </c>
      <c r="I158" s="65"/>
      <c r="J158" s="65">
        <f>5340*3</f>
        <v>16020</v>
      </c>
      <c r="K158" s="65"/>
      <c r="L158" s="72"/>
      <c r="M158" s="164">
        <f>5520*3</f>
        <v>16560</v>
      </c>
    </row>
    <row r="159" spans="1:13" ht="12">
      <c r="A159" s="11">
        <f t="shared" si="2"/>
        <v>26</v>
      </c>
      <c r="C159" s="12" t="s">
        <v>622</v>
      </c>
      <c r="E159" s="11">
        <f t="shared" si="3"/>
        <v>26</v>
      </c>
      <c r="H159" s="65">
        <v>17134</v>
      </c>
      <c r="I159" s="62"/>
      <c r="J159" s="62">
        <v>18676</v>
      </c>
      <c r="K159" s="65"/>
      <c r="L159" s="69"/>
      <c r="M159" s="163">
        <v>20450</v>
      </c>
    </row>
    <row r="160" spans="1:13" ht="12">
      <c r="A160" s="11">
        <f t="shared" si="2"/>
        <v>27</v>
      </c>
      <c r="C160" s="12" t="s">
        <v>616</v>
      </c>
      <c r="E160" s="11">
        <f t="shared" si="3"/>
        <v>27</v>
      </c>
      <c r="H160" s="65">
        <v>16290</v>
      </c>
      <c r="I160" s="62"/>
      <c r="J160" s="62">
        <f>5625*3</f>
        <v>16875</v>
      </c>
      <c r="K160" s="65"/>
      <c r="L160" s="69"/>
      <c r="M160" s="163">
        <f>6000*3</f>
        <v>18000</v>
      </c>
    </row>
    <row r="161" spans="1:13" ht="12">
      <c r="A161" s="11">
        <f t="shared" si="2"/>
        <v>28</v>
      </c>
      <c r="C161" s="12" t="s">
        <v>619</v>
      </c>
      <c r="E161" s="11">
        <f t="shared" si="3"/>
        <v>28</v>
      </c>
      <c r="H161" s="65">
        <v>14508</v>
      </c>
      <c r="I161" s="62"/>
      <c r="J161" s="62">
        <v>15018</v>
      </c>
      <c r="K161" s="65"/>
      <c r="L161" s="69"/>
      <c r="M161" s="163">
        <v>16446</v>
      </c>
    </row>
    <row r="162" spans="1:13" ht="12">
      <c r="A162" s="11"/>
      <c r="C162" s="12" t="s">
        <v>0</v>
      </c>
      <c r="E162" s="50"/>
      <c r="F162" s="59"/>
      <c r="G162" s="59"/>
      <c r="H162" s="59"/>
      <c r="I162" s="17"/>
      <c r="J162" s="55"/>
      <c r="L162" s="17"/>
      <c r="M162" s="55"/>
    </row>
    <row r="163" spans="1:5" ht="12">
      <c r="A163" s="11"/>
      <c r="E163" s="50"/>
    </row>
    <row r="164" spans="1:13" s="73" customFormat="1" ht="9">
      <c r="A164" s="73" t="s">
        <v>262</v>
      </c>
      <c r="I164" s="74"/>
      <c r="J164" s="75"/>
      <c r="L164" s="74"/>
      <c r="M164" s="75"/>
    </row>
    <row r="165" spans="1:13" s="73" customFormat="1" ht="9">
      <c r="A165" s="76" t="s">
        <v>162</v>
      </c>
      <c r="I165" s="74"/>
      <c r="J165" s="75"/>
      <c r="L165" s="74"/>
      <c r="M165" s="75"/>
    </row>
    <row r="166" spans="1:13" ht="12">
      <c r="A166" s="12"/>
      <c r="J166" s="55"/>
      <c r="M166" s="55"/>
    </row>
    <row r="167" spans="1:13" ht="12">
      <c r="A167" s="12"/>
      <c r="J167" s="55"/>
      <c r="M167" s="55"/>
    </row>
    <row r="168" spans="1:13" ht="12">
      <c r="A168" s="12"/>
      <c r="J168" s="55"/>
      <c r="M168" s="55"/>
    </row>
    <row r="169" spans="1:13" ht="12">
      <c r="A169" s="12"/>
      <c r="J169" s="55"/>
      <c r="M169" s="55"/>
    </row>
    <row r="170" spans="1:13" ht="12">
      <c r="A170" s="12"/>
      <c r="J170" s="55"/>
      <c r="M170" s="55"/>
    </row>
    <row r="171" spans="1:13" ht="12">
      <c r="A171" s="12"/>
      <c r="J171" s="55"/>
      <c r="M171" s="55"/>
    </row>
    <row r="172" spans="1:13" ht="12">
      <c r="A172" s="12"/>
      <c r="J172" s="55"/>
      <c r="M172" s="55"/>
    </row>
    <row r="173" spans="1:13" ht="12">
      <c r="A173" s="12"/>
      <c r="J173" s="55"/>
      <c r="M173" s="55"/>
    </row>
    <row r="174" spans="1:13" ht="12">
      <c r="A174" s="12"/>
      <c r="J174" s="55"/>
      <c r="M174" s="55"/>
    </row>
    <row r="175" spans="5:15" ht="12">
      <c r="E175" s="50"/>
      <c r="I175" s="17"/>
      <c r="J175" s="55"/>
      <c r="K175" s="5"/>
      <c r="M175" s="55"/>
      <c r="O175" s="59"/>
    </row>
    <row r="176" spans="1:15" ht="12">
      <c r="A176" s="19" t="str">
        <f>$A$36</f>
        <v>Institution No.:  GFE</v>
      </c>
      <c r="E176" s="50"/>
      <c r="I176" s="17"/>
      <c r="J176" s="55"/>
      <c r="L176" s="17"/>
      <c r="M176" s="18" t="s">
        <v>144</v>
      </c>
      <c r="N176" s="5"/>
      <c r="O176" s="59"/>
    </row>
    <row r="177" spans="1:15" ht="12.75" customHeight="1">
      <c r="A177" s="262" t="s">
        <v>145</v>
      </c>
      <c r="B177" s="26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5"/>
      <c r="O177" s="59"/>
    </row>
    <row r="178" spans="1:15" ht="12">
      <c r="A178" s="19" t="s">
        <v>664</v>
      </c>
      <c r="C178" s="7" t="s">
        <v>666</v>
      </c>
      <c r="J178" s="55"/>
      <c r="L178" s="17"/>
      <c r="M178" s="20" t="str">
        <f>$M$3</f>
        <v>Date: 10/1/2008</v>
      </c>
      <c r="N178" s="5"/>
      <c r="O178" s="59"/>
    </row>
    <row r="179" spans="1:13" ht="12">
      <c r="A179" s="21" t="s">
        <v>1</v>
      </c>
      <c r="B179" s="21" t="s">
        <v>1</v>
      </c>
      <c r="C179" s="21" t="s">
        <v>1</v>
      </c>
      <c r="D179" s="21" t="s">
        <v>1</v>
      </c>
      <c r="E179" s="21" t="s">
        <v>1</v>
      </c>
      <c r="F179" s="21" t="s">
        <v>1</v>
      </c>
      <c r="G179" s="21"/>
      <c r="H179" s="21"/>
      <c r="I179" s="22" t="s">
        <v>1</v>
      </c>
      <c r="J179" s="23" t="s">
        <v>1</v>
      </c>
      <c r="K179" s="21" t="s">
        <v>1</v>
      </c>
      <c r="L179" s="22" t="s">
        <v>1</v>
      </c>
      <c r="M179" s="23" t="s">
        <v>1</v>
      </c>
    </row>
    <row r="180" spans="1:13" ht="12">
      <c r="A180" s="24" t="s">
        <v>2</v>
      </c>
      <c r="E180" s="24" t="s">
        <v>2</v>
      </c>
      <c r="H180" s="25" t="s">
        <v>249</v>
      </c>
      <c r="I180" s="26"/>
      <c r="J180" s="27" t="s">
        <v>251</v>
      </c>
      <c r="K180" s="25"/>
      <c r="L180" s="26"/>
      <c r="M180" s="27" t="s">
        <v>260</v>
      </c>
    </row>
    <row r="181" spans="1:13" ht="12">
      <c r="A181" s="24" t="s">
        <v>4</v>
      </c>
      <c r="C181" s="12" t="s">
        <v>0</v>
      </c>
      <c r="E181" s="24" t="s">
        <v>4</v>
      </c>
      <c r="H181" s="25" t="s">
        <v>7</v>
      </c>
      <c r="I181" s="26"/>
      <c r="J181" s="27" t="s">
        <v>7</v>
      </c>
      <c r="K181" s="25"/>
      <c r="L181" s="26"/>
      <c r="M181" s="27" t="s">
        <v>8</v>
      </c>
    </row>
    <row r="182" spans="1:13" ht="12">
      <c r="A182" s="21" t="s">
        <v>1</v>
      </c>
      <c r="B182" s="21" t="s">
        <v>1</v>
      </c>
      <c r="C182" s="21" t="s">
        <v>1</v>
      </c>
      <c r="D182" s="21" t="s">
        <v>1</v>
      </c>
      <c r="E182" s="21" t="s">
        <v>1</v>
      </c>
      <c r="F182" s="21" t="s">
        <v>1</v>
      </c>
      <c r="G182" s="21"/>
      <c r="H182" s="21"/>
      <c r="I182" s="22" t="s">
        <v>1</v>
      </c>
      <c r="J182" s="23" t="s">
        <v>1</v>
      </c>
      <c r="K182" s="21" t="s">
        <v>1</v>
      </c>
      <c r="L182" s="22" t="s">
        <v>1</v>
      </c>
      <c r="M182" s="23" t="s">
        <v>1</v>
      </c>
    </row>
    <row r="183" spans="1:13" ht="12">
      <c r="A183" s="11">
        <v>1</v>
      </c>
      <c r="C183" s="12" t="s">
        <v>139</v>
      </c>
      <c r="E183" s="11">
        <v>1</v>
      </c>
      <c r="H183" s="65"/>
      <c r="I183" s="62"/>
      <c r="J183" s="62"/>
      <c r="K183" s="65"/>
      <c r="L183" s="17"/>
      <c r="M183" s="55"/>
    </row>
    <row r="184" spans="1:13" ht="12">
      <c r="A184" s="11">
        <f aca="true" t="shared" si="4" ref="A184:A212">(A183+1)</f>
        <v>2</v>
      </c>
      <c r="C184" s="12" t="s">
        <v>140</v>
      </c>
      <c r="E184" s="11">
        <f aca="true" t="shared" si="5" ref="E184:E212">(E183+1)</f>
        <v>2</v>
      </c>
      <c r="F184" s="36"/>
      <c r="G184" s="36"/>
      <c r="H184" s="62"/>
      <c r="I184" s="62"/>
      <c r="J184" s="62"/>
      <c r="K184" s="62"/>
      <c r="L184" s="17"/>
      <c r="M184" s="160"/>
    </row>
    <row r="185" spans="1:13" ht="12">
      <c r="A185" s="11">
        <f t="shared" si="4"/>
        <v>3</v>
      </c>
      <c r="C185" s="12" t="s">
        <v>141</v>
      </c>
      <c r="E185" s="11">
        <f t="shared" si="5"/>
        <v>3</v>
      </c>
      <c r="F185" s="36"/>
      <c r="G185" s="36"/>
      <c r="H185" s="62"/>
      <c r="I185" s="62"/>
      <c r="J185" s="62"/>
      <c r="K185" s="62"/>
      <c r="L185" s="17"/>
      <c r="M185" s="160"/>
    </row>
    <row r="186" spans="1:13" ht="12">
      <c r="A186" s="11">
        <f t="shared" si="4"/>
        <v>4</v>
      </c>
      <c r="C186" s="12" t="s">
        <v>615</v>
      </c>
      <c r="E186" s="11">
        <f t="shared" si="5"/>
        <v>4</v>
      </c>
      <c r="F186" s="36"/>
      <c r="G186" s="36"/>
      <c r="H186" s="62">
        <v>29610</v>
      </c>
      <c r="I186" s="62"/>
      <c r="J186" s="62">
        <f>10215*3</f>
        <v>30645</v>
      </c>
      <c r="K186" s="62"/>
      <c r="L186" s="17"/>
      <c r="M186" s="160">
        <f>10575*3</f>
        <v>31725</v>
      </c>
    </row>
    <row r="187" spans="1:13" ht="12">
      <c r="A187" s="11">
        <f t="shared" si="4"/>
        <v>5</v>
      </c>
      <c r="C187" s="7" t="s">
        <v>616</v>
      </c>
      <c r="E187" s="11">
        <f t="shared" si="5"/>
        <v>5</v>
      </c>
      <c r="F187" s="36"/>
      <c r="G187" s="36"/>
      <c r="H187" s="62">
        <v>33840</v>
      </c>
      <c r="I187" s="62"/>
      <c r="J187" s="62">
        <f>11670*3</f>
        <v>35010</v>
      </c>
      <c r="K187" s="62"/>
      <c r="L187" s="17"/>
      <c r="M187" s="160">
        <f>12285*3</f>
        <v>36855</v>
      </c>
    </row>
    <row r="188" spans="1:13" ht="12">
      <c r="A188" s="11">
        <f t="shared" si="4"/>
        <v>6</v>
      </c>
      <c r="C188" s="12" t="s">
        <v>0</v>
      </c>
      <c r="E188" s="11">
        <f t="shared" si="5"/>
        <v>6</v>
      </c>
      <c r="F188" s="36"/>
      <c r="G188" s="36"/>
      <c r="H188" s="62"/>
      <c r="I188" s="62"/>
      <c r="J188" s="62"/>
      <c r="K188" s="62"/>
      <c r="L188" s="17"/>
      <c r="M188" s="160"/>
    </row>
    <row r="189" spans="1:13" ht="12">
      <c r="A189" s="11">
        <f t="shared" si="4"/>
        <v>7</v>
      </c>
      <c r="C189" s="12" t="s">
        <v>0</v>
      </c>
      <c r="E189" s="11">
        <f t="shared" si="5"/>
        <v>7</v>
      </c>
      <c r="F189" s="36"/>
      <c r="G189" s="36"/>
      <c r="H189" s="62"/>
      <c r="I189" s="62"/>
      <c r="J189" s="62"/>
      <c r="K189" s="62"/>
      <c r="L189" s="17"/>
      <c r="M189" s="160"/>
    </row>
    <row r="190" spans="1:13" ht="12">
      <c r="A190" s="11">
        <f t="shared" si="4"/>
        <v>8</v>
      </c>
      <c r="E190" s="11">
        <f t="shared" si="5"/>
        <v>8</v>
      </c>
      <c r="H190" s="65"/>
      <c r="I190" s="62"/>
      <c r="J190" s="62"/>
      <c r="K190" s="65"/>
      <c r="L190" s="17"/>
      <c r="M190" s="160"/>
    </row>
    <row r="191" spans="1:13" ht="12">
      <c r="A191" s="11">
        <f t="shared" si="4"/>
        <v>9</v>
      </c>
      <c r="C191" s="12" t="s">
        <v>0</v>
      </c>
      <c r="E191" s="11">
        <f t="shared" si="5"/>
        <v>9</v>
      </c>
      <c r="H191" s="65"/>
      <c r="I191" s="62"/>
      <c r="J191" s="62"/>
      <c r="K191" s="65"/>
      <c r="L191" s="17"/>
      <c r="M191" s="160"/>
    </row>
    <row r="192" spans="1:13" ht="12">
      <c r="A192" s="11">
        <f t="shared" si="4"/>
        <v>10</v>
      </c>
      <c r="C192" s="12" t="s">
        <v>0</v>
      </c>
      <c r="E192" s="11">
        <f t="shared" si="5"/>
        <v>10</v>
      </c>
      <c r="H192" s="65"/>
      <c r="I192" s="62"/>
      <c r="J192" s="62"/>
      <c r="K192" s="65"/>
      <c r="L192" s="17"/>
      <c r="M192" s="160"/>
    </row>
    <row r="193" spans="1:13" ht="12">
      <c r="A193" s="11">
        <f t="shared" si="4"/>
        <v>11</v>
      </c>
      <c r="C193" s="12" t="s">
        <v>142</v>
      </c>
      <c r="E193" s="11">
        <f t="shared" si="5"/>
        <v>11</v>
      </c>
      <c r="H193" s="65"/>
      <c r="I193" s="62"/>
      <c r="J193" s="62"/>
      <c r="K193" s="65"/>
      <c r="L193" s="17"/>
      <c r="M193" s="160"/>
    </row>
    <row r="194" spans="1:13" ht="12">
      <c r="A194" s="11">
        <f t="shared" si="4"/>
        <v>12</v>
      </c>
      <c r="C194" s="12" t="s">
        <v>140</v>
      </c>
      <c r="E194" s="11">
        <f t="shared" si="5"/>
        <v>12</v>
      </c>
      <c r="H194" s="65"/>
      <c r="I194" s="62"/>
      <c r="J194" s="62"/>
      <c r="K194" s="65"/>
      <c r="L194" s="17"/>
      <c r="M194" s="160"/>
    </row>
    <row r="195" spans="1:13" ht="12">
      <c r="A195" s="11">
        <f t="shared" si="4"/>
        <v>13</v>
      </c>
      <c r="C195" s="12" t="s">
        <v>141</v>
      </c>
      <c r="E195" s="11">
        <f t="shared" si="5"/>
        <v>13</v>
      </c>
      <c r="H195" s="65"/>
      <c r="I195" s="62"/>
      <c r="J195" s="62"/>
      <c r="K195" s="65"/>
      <c r="L195" s="17"/>
      <c r="M195" s="160"/>
    </row>
    <row r="196" spans="1:13" ht="12">
      <c r="A196" s="11">
        <f t="shared" si="4"/>
        <v>14</v>
      </c>
      <c r="C196" s="12" t="s">
        <v>617</v>
      </c>
      <c r="E196" s="11">
        <f t="shared" si="5"/>
        <v>14</v>
      </c>
      <c r="F196" s="13"/>
      <c r="G196" s="13"/>
      <c r="H196" s="2">
        <v>25875</v>
      </c>
      <c r="I196" s="2"/>
      <c r="J196" s="2">
        <f>8625*3</f>
        <v>25875</v>
      </c>
      <c r="K196" s="2"/>
      <c r="L196" s="14"/>
      <c r="M196" s="162">
        <f>8925*3</f>
        <v>26775</v>
      </c>
    </row>
    <row r="197" spans="1:13" ht="12">
      <c r="A197" s="11">
        <f t="shared" si="4"/>
        <v>15</v>
      </c>
      <c r="C197" s="12" t="s">
        <v>618</v>
      </c>
      <c r="E197" s="11">
        <f t="shared" si="5"/>
        <v>15</v>
      </c>
      <c r="F197" s="13"/>
      <c r="G197" s="13"/>
      <c r="H197" s="2" t="s">
        <v>623</v>
      </c>
      <c r="I197" s="2"/>
      <c r="J197" s="2" t="s">
        <v>623</v>
      </c>
      <c r="K197" s="2"/>
      <c r="L197" s="14"/>
      <c r="M197" s="162">
        <f>13125*3</f>
        <v>39375</v>
      </c>
    </row>
    <row r="198" spans="1:13" ht="12">
      <c r="A198" s="11">
        <f t="shared" si="4"/>
        <v>16</v>
      </c>
      <c r="C198" s="12" t="s">
        <v>616</v>
      </c>
      <c r="E198" s="11">
        <f t="shared" si="5"/>
        <v>16</v>
      </c>
      <c r="F198" s="13"/>
      <c r="G198" s="13"/>
      <c r="H198" s="2">
        <v>44055</v>
      </c>
      <c r="I198" s="2"/>
      <c r="J198" s="2">
        <f>14685*3</f>
        <v>44055</v>
      </c>
      <c r="K198" s="2"/>
      <c r="L198" s="14"/>
      <c r="M198" s="162">
        <f>14685*3</f>
        <v>44055</v>
      </c>
    </row>
    <row r="199" spans="1:13" ht="12">
      <c r="A199" s="11">
        <f t="shared" si="4"/>
        <v>17</v>
      </c>
      <c r="C199" s="12" t="s">
        <v>619</v>
      </c>
      <c r="E199" s="11">
        <f t="shared" si="5"/>
        <v>17</v>
      </c>
      <c r="F199" s="13"/>
      <c r="G199" s="13"/>
      <c r="H199" s="2">
        <v>15525</v>
      </c>
      <c r="I199" s="2"/>
      <c r="J199" s="2">
        <f>5175*3</f>
        <v>15525</v>
      </c>
      <c r="K199" s="2"/>
      <c r="L199" s="14"/>
      <c r="M199" s="162">
        <f>5355*3</f>
        <v>16065</v>
      </c>
    </row>
    <row r="200" spans="1:13" ht="12">
      <c r="A200" s="11">
        <f t="shared" si="4"/>
        <v>18</v>
      </c>
      <c r="C200" s="12" t="s">
        <v>0</v>
      </c>
      <c r="E200" s="11">
        <f t="shared" si="5"/>
        <v>18</v>
      </c>
      <c r="F200" s="13"/>
      <c r="G200" s="13"/>
      <c r="H200" s="2"/>
      <c r="I200" s="2"/>
      <c r="J200" s="2"/>
      <c r="K200" s="2"/>
      <c r="L200" s="14"/>
      <c r="M200" s="162"/>
    </row>
    <row r="201" spans="1:13" ht="12">
      <c r="A201" s="11">
        <f t="shared" si="4"/>
        <v>19</v>
      </c>
      <c r="E201" s="11">
        <f t="shared" si="5"/>
        <v>19</v>
      </c>
      <c r="H201" s="65"/>
      <c r="I201" s="62"/>
      <c r="J201" s="62"/>
      <c r="K201" s="65"/>
      <c r="L201" s="17"/>
      <c r="M201" s="160"/>
    </row>
    <row r="202" spans="1:13" ht="12">
      <c r="A202" s="11">
        <f t="shared" si="4"/>
        <v>20</v>
      </c>
      <c r="E202" s="11">
        <f t="shared" si="5"/>
        <v>20</v>
      </c>
      <c r="H202" s="65"/>
      <c r="I202" s="62"/>
      <c r="J202" s="62"/>
      <c r="K202" s="65"/>
      <c r="L202" s="17"/>
      <c r="M202" s="160"/>
    </row>
    <row r="203" spans="1:13" ht="12">
      <c r="A203" s="11">
        <f t="shared" si="4"/>
        <v>21</v>
      </c>
      <c r="C203" s="12" t="s">
        <v>143</v>
      </c>
      <c r="E203" s="11">
        <f t="shared" si="5"/>
        <v>21</v>
      </c>
      <c r="H203" s="65"/>
      <c r="I203" s="62"/>
      <c r="J203" s="62"/>
      <c r="K203" s="65"/>
      <c r="L203" s="17"/>
      <c r="M203" s="160"/>
    </row>
    <row r="204" spans="1:13" ht="12">
      <c r="A204" s="11">
        <f t="shared" si="4"/>
        <v>22</v>
      </c>
      <c r="C204" s="12" t="s">
        <v>140</v>
      </c>
      <c r="E204" s="11">
        <f t="shared" si="5"/>
        <v>22</v>
      </c>
      <c r="H204" s="65"/>
      <c r="I204" s="62"/>
      <c r="J204" s="62"/>
      <c r="K204" s="65"/>
      <c r="L204" s="17"/>
      <c r="M204" s="160"/>
    </row>
    <row r="205" spans="1:13" ht="12">
      <c r="A205" s="11">
        <f t="shared" si="4"/>
        <v>23</v>
      </c>
      <c r="C205" s="12" t="s">
        <v>141</v>
      </c>
      <c r="E205" s="11">
        <f t="shared" si="5"/>
        <v>23</v>
      </c>
      <c r="H205" s="65"/>
      <c r="I205" s="62"/>
      <c r="J205" s="62"/>
      <c r="K205" s="65"/>
      <c r="L205" s="17"/>
      <c r="M205" s="160"/>
    </row>
    <row r="206" spans="1:13" ht="12">
      <c r="A206" s="11">
        <f t="shared" si="4"/>
        <v>24</v>
      </c>
      <c r="C206" s="12" t="s">
        <v>620</v>
      </c>
      <c r="E206" s="11">
        <f t="shared" si="5"/>
        <v>24</v>
      </c>
      <c r="H206" s="65">
        <v>74098</v>
      </c>
      <c r="I206" s="62"/>
      <c r="J206" s="62">
        <v>76691</v>
      </c>
      <c r="K206" s="65"/>
      <c r="L206" s="17"/>
      <c r="M206" s="55">
        <v>82059</v>
      </c>
    </row>
    <row r="207" spans="1:13" ht="12">
      <c r="A207" s="11">
        <f t="shared" si="4"/>
        <v>25</v>
      </c>
      <c r="C207" s="7" t="s">
        <v>621</v>
      </c>
      <c r="E207" s="11">
        <f t="shared" si="5"/>
        <v>25</v>
      </c>
      <c r="H207" s="65">
        <v>36630</v>
      </c>
      <c r="I207" s="65"/>
      <c r="J207" s="65">
        <f>12210*3</f>
        <v>36630</v>
      </c>
      <c r="K207" s="65"/>
      <c r="M207" s="9">
        <f>12300*3</f>
        <v>36900</v>
      </c>
    </row>
    <row r="208" spans="1:13" ht="12">
      <c r="A208" s="11">
        <f t="shared" si="4"/>
        <v>26</v>
      </c>
      <c r="C208" s="12" t="s">
        <v>622</v>
      </c>
      <c r="E208" s="11">
        <f t="shared" si="5"/>
        <v>26</v>
      </c>
      <c r="H208" s="65">
        <v>40689</v>
      </c>
      <c r="I208" s="62"/>
      <c r="J208" s="62">
        <v>42113</v>
      </c>
      <c r="K208" s="65"/>
      <c r="L208" s="17"/>
      <c r="M208" s="55">
        <v>46114</v>
      </c>
    </row>
    <row r="209" spans="1:13" ht="12">
      <c r="A209" s="11">
        <f t="shared" si="4"/>
        <v>27</v>
      </c>
      <c r="C209" s="12" t="s">
        <v>616</v>
      </c>
      <c r="E209" s="11">
        <f t="shared" si="5"/>
        <v>27</v>
      </c>
      <c r="H209" s="65">
        <v>44055</v>
      </c>
      <c r="I209" s="62"/>
      <c r="J209" s="62">
        <f>14685*3</f>
        <v>44055</v>
      </c>
      <c r="K209" s="65"/>
      <c r="L209" s="17"/>
      <c r="M209" s="55">
        <f>14685*3</f>
        <v>44055</v>
      </c>
    </row>
    <row r="210" spans="1:13" ht="12">
      <c r="A210" s="11">
        <f t="shared" si="4"/>
        <v>28</v>
      </c>
      <c r="C210" s="12" t="s">
        <v>619</v>
      </c>
      <c r="E210" s="11">
        <f t="shared" si="5"/>
        <v>28</v>
      </c>
      <c r="H210" s="65">
        <v>28560</v>
      </c>
      <c r="I210" s="62"/>
      <c r="J210" s="62">
        <v>28848</v>
      </c>
      <c r="K210" s="65"/>
      <c r="L210" s="17"/>
      <c r="M210" s="55">
        <v>29568</v>
      </c>
    </row>
    <row r="211" spans="1:13" ht="12">
      <c r="A211" s="11">
        <f t="shared" si="4"/>
        <v>29</v>
      </c>
      <c r="C211" s="12" t="s">
        <v>0</v>
      </c>
      <c r="E211" s="11">
        <f t="shared" si="5"/>
        <v>29</v>
      </c>
      <c r="F211" s="59"/>
      <c r="G211" s="59"/>
      <c r="H211" s="62"/>
      <c r="I211" s="62"/>
      <c r="J211" s="62"/>
      <c r="K211" s="65"/>
      <c r="L211" s="17"/>
      <c r="M211" s="55"/>
    </row>
    <row r="212" spans="1:11" ht="12">
      <c r="A212" s="11">
        <f t="shared" si="4"/>
        <v>30</v>
      </c>
      <c r="E212" s="11">
        <f t="shared" si="5"/>
        <v>30</v>
      </c>
      <c r="H212" s="65"/>
      <c r="I212" s="65"/>
      <c r="J212" s="65"/>
      <c r="K212" s="65"/>
    </row>
    <row r="214" ht="12">
      <c r="A214" s="12"/>
    </row>
    <row r="215" spans="1:13" ht="12">
      <c r="A215" s="12"/>
      <c r="J215" s="55"/>
      <c r="M215" s="55"/>
    </row>
    <row r="216" spans="1:13" ht="12">
      <c r="A216" s="12"/>
      <c r="J216" s="55"/>
      <c r="M216" s="55"/>
    </row>
    <row r="217" spans="1:13" ht="12">
      <c r="A217" s="12"/>
      <c r="J217" s="55"/>
      <c r="M217" s="55"/>
    </row>
    <row r="218" spans="1:13" ht="12">
      <c r="A218" s="12"/>
      <c r="J218" s="55"/>
      <c r="M218" s="55"/>
    </row>
    <row r="219" spans="1:13" ht="12">
      <c r="A219" s="12"/>
      <c r="J219" s="55"/>
      <c r="M219" s="55"/>
    </row>
    <row r="220" spans="1:13" ht="12">
      <c r="A220" s="12"/>
      <c r="J220" s="55"/>
      <c r="M220" s="55"/>
    </row>
    <row r="221" spans="1:13" ht="12">
      <c r="A221" s="12"/>
      <c r="J221" s="55"/>
      <c r="M221" s="55"/>
    </row>
    <row r="222" spans="1:13" ht="12">
      <c r="A222" s="12"/>
      <c r="J222" s="55"/>
      <c r="M222" s="55"/>
    </row>
    <row r="223" spans="1:13" ht="12">
      <c r="A223" s="19" t="str">
        <f>$A$36</f>
        <v>Institution No.:  GFE</v>
      </c>
      <c r="C223" s="77"/>
      <c r="I223" s="7"/>
      <c r="J223" s="7"/>
      <c r="K223" s="33" t="s">
        <v>163</v>
      </c>
      <c r="L223" s="7"/>
      <c r="M223" s="7"/>
    </row>
    <row r="224" spans="1:13" ht="12">
      <c r="A224" s="54"/>
      <c r="B224" s="277" t="s">
        <v>164</v>
      </c>
      <c r="C224" s="277"/>
      <c r="D224" s="277"/>
      <c r="E224" s="277"/>
      <c r="F224" s="277"/>
      <c r="G224" s="277"/>
      <c r="H224" s="277"/>
      <c r="I224" s="277"/>
      <c r="J224" s="277"/>
      <c r="K224" s="277"/>
      <c r="L224" s="277"/>
      <c r="M224" s="277"/>
    </row>
    <row r="225" spans="1:13" ht="12">
      <c r="A225" s="19" t="s">
        <v>664</v>
      </c>
      <c r="C225" s="7" t="s">
        <v>666</v>
      </c>
      <c r="I225" s="7"/>
      <c r="J225" s="7"/>
      <c r="K225" s="78" t="s">
        <v>181</v>
      </c>
      <c r="L225" s="7"/>
      <c r="M225" s="7"/>
    </row>
    <row r="226" spans="1:13" ht="12">
      <c r="A226" s="21"/>
      <c r="C226" s="21" t="s">
        <v>1</v>
      </c>
      <c r="D226" s="21" t="s">
        <v>1</v>
      </c>
      <c r="E226" s="21" t="s">
        <v>1</v>
      </c>
      <c r="F226" s="21" t="s">
        <v>1</v>
      </c>
      <c r="G226" s="21"/>
      <c r="H226" s="21"/>
      <c r="I226" s="21" t="s">
        <v>1</v>
      </c>
      <c r="J226" s="21" t="s">
        <v>1</v>
      </c>
      <c r="K226" s="21" t="s">
        <v>1</v>
      </c>
      <c r="L226" s="21" t="s">
        <v>1</v>
      </c>
      <c r="M226" s="7"/>
    </row>
    <row r="227" spans="1:13" ht="12">
      <c r="A227" s="24"/>
      <c r="D227" s="28" t="s">
        <v>249</v>
      </c>
      <c r="G227" s="28"/>
      <c r="I227" s="28" t="s">
        <v>251</v>
      </c>
      <c r="J227" s="7"/>
      <c r="L227" s="7"/>
      <c r="M227" s="7"/>
    </row>
    <row r="228" spans="1:13" ht="12">
      <c r="A228" s="24"/>
      <c r="D228" s="28" t="s">
        <v>165</v>
      </c>
      <c r="G228" s="28"/>
      <c r="I228" s="28" t="s">
        <v>165</v>
      </c>
      <c r="J228" s="7"/>
      <c r="L228" s="7"/>
      <c r="M228" s="7"/>
    </row>
    <row r="229" spans="1:13" ht="12">
      <c r="A229" s="21"/>
      <c r="D229" s="28" t="s">
        <v>21</v>
      </c>
      <c r="E229" s="28" t="s">
        <v>21</v>
      </c>
      <c r="F229" s="28" t="s">
        <v>166</v>
      </c>
      <c r="G229" s="28"/>
      <c r="H229" s="28"/>
      <c r="I229" s="28" t="s">
        <v>21</v>
      </c>
      <c r="J229" s="28" t="s">
        <v>21</v>
      </c>
      <c r="K229" s="28" t="s">
        <v>166</v>
      </c>
      <c r="L229" s="28"/>
      <c r="M229" s="7"/>
    </row>
    <row r="230" spans="1:13" ht="12">
      <c r="A230" s="12"/>
      <c r="C230" s="28" t="s">
        <v>167</v>
      </c>
      <c r="D230" s="28" t="s">
        <v>168</v>
      </c>
      <c r="E230" s="28" t="s">
        <v>169</v>
      </c>
      <c r="F230" s="28" t="s">
        <v>170</v>
      </c>
      <c r="G230" s="28"/>
      <c r="H230" s="28"/>
      <c r="I230" s="28" t="s">
        <v>168</v>
      </c>
      <c r="J230" s="28" t="s">
        <v>169</v>
      </c>
      <c r="K230" s="28" t="s">
        <v>170</v>
      </c>
      <c r="L230" s="28"/>
      <c r="M230" s="7"/>
    </row>
    <row r="231" spans="1:13" ht="12">
      <c r="A231" s="12"/>
      <c r="C231" s="21" t="s">
        <v>1</v>
      </c>
      <c r="D231" s="21" t="s">
        <v>1</v>
      </c>
      <c r="E231" s="21" t="s">
        <v>1</v>
      </c>
      <c r="F231" s="21" t="s">
        <v>1</v>
      </c>
      <c r="G231" s="21"/>
      <c r="H231" s="21"/>
      <c r="I231" s="21" t="s">
        <v>1</v>
      </c>
      <c r="J231" s="21" t="s">
        <v>1</v>
      </c>
      <c r="K231" s="21" t="s">
        <v>1</v>
      </c>
      <c r="L231" s="21" t="s">
        <v>1</v>
      </c>
      <c r="M231" s="7"/>
    </row>
    <row r="232" spans="1:13" ht="12">
      <c r="A232" s="12"/>
      <c r="I232" s="7"/>
      <c r="J232" s="7"/>
      <c r="L232" s="7"/>
      <c r="M232" s="7"/>
    </row>
    <row r="233" spans="1:13" ht="12">
      <c r="A233" s="12"/>
      <c r="C233" s="12" t="s">
        <v>171</v>
      </c>
      <c r="D233" s="79"/>
      <c r="E233" s="79"/>
      <c r="F233" s="79"/>
      <c r="G233" s="29"/>
      <c r="H233" s="29"/>
      <c r="I233" s="79"/>
      <c r="J233" s="79"/>
      <c r="K233" s="80"/>
      <c r="L233" s="7"/>
      <c r="M233" s="7"/>
    </row>
    <row r="234" spans="1:13" ht="12">
      <c r="A234" s="12"/>
      <c r="D234" s="79"/>
      <c r="E234" s="79"/>
      <c r="F234" s="79"/>
      <c r="G234" s="81"/>
      <c r="H234" s="81"/>
      <c r="I234" s="79"/>
      <c r="J234" s="79"/>
      <c r="K234" s="79"/>
      <c r="L234" s="7"/>
      <c r="M234" s="7"/>
    </row>
    <row r="235" spans="1:13" ht="12">
      <c r="A235" s="12"/>
      <c r="C235" s="12" t="s">
        <v>172</v>
      </c>
      <c r="D235" s="63"/>
      <c r="E235" s="63"/>
      <c r="F235" s="64"/>
      <c r="G235" s="29"/>
      <c r="H235" s="29"/>
      <c r="I235" s="63"/>
      <c r="J235" s="63"/>
      <c r="K235" s="63"/>
      <c r="L235" s="11"/>
      <c r="M235" s="7"/>
    </row>
    <row r="236" spans="1:13" ht="12">
      <c r="A236" s="12"/>
      <c r="D236" s="64"/>
      <c r="E236" s="64"/>
      <c r="F236" s="64"/>
      <c r="G236" s="81"/>
      <c r="H236" s="81"/>
      <c r="I236" s="64"/>
      <c r="J236" s="64"/>
      <c r="K236" s="64"/>
      <c r="L236" s="7"/>
      <c r="M236" s="7"/>
    </row>
    <row r="237" spans="1:13" ht="12">
      <c r="A237" s="12"/>
      <c r="C237" s="12" t="s">
        <v>173</v>
      </c>
      <c r="D237" s="63">
        <v>421</v>
      </c>
      <c r="E237" s="63"/>
      <c r="F237" s="64"/>
      <c r="G237" s="29"/>
      <c r="H237" s="29"/>
      <c r="I237" s="63">
        <v>430</v>
      </c>
      <c r="J237" s="63"/>
      <c r="K237" s="63"/>
      <c r="L237" s="11"/>
      <c r="M237" s="7"/>
    </row>
    <row r="238" spans="1:13" ht="12">
      <c r="A238" s="12"/>
      <c r="D238" s="64"/>
      <c r="E238" s="64"/>
      <c r="F238" s="64"/>
      <c r="G238" s="81"/>
      <c r="H238" s="81"/>
      <c r="I238" s="64"/>
      <c r="J238" s="64"/>
      <c r="K238" s="64"/>
      <c r="L238" s="7"/>
      <c r="M238" s="7"/>
    </row>
    <row r="239" spans="1:13" ht="12">
      <c r="A239" s="12"/>
      <c r="C239" s="12" t="s">
        <v>174</v>
      </c>
      <c r="D239" s="63">
        <f>SUM(D233:D237)</f>
        <v>421</v>
      </c>
      <c r="E239" s="63">
        <f>SUM(E233:E237)</f>
        <v>0</v>
      </c>
      <c r="F239" s="64"/>
      <c r="G239" s="82"/>
      <c r="H239" s="82"/>
      <c r="I239" s="63">
        <f>SUM(I233:I237)</f>
        <v>430</v>
      </c>
      <c r="J239" s="63">
        <f>SUM(J233:J237)</f>
        <v>0</v>
      </c>
      <c r="K239" s="63"/>
      <c r="L239" s="31"/>
      <c r="M239" s="83"/>
    </row>
    <row r="240" spans="1:13" ht="12">
      <c r="A240" s="12"/>
      <c r="D240" s="81"/>
      <c r="E240" s="81"/>
      <c r="F240" s="84"/>
      <c r="G240" s="81"/>
      <c r="H240" s="81"/>
      <c r="I240" s="84"/>
      <c r="J240" s="84"/>
      <c r="K240" s="84"/>
      <c r="L240" s="7"/>
      <c r="M240" s="7"/>
    </row>
    <row r="241" spans="1:13" ht="12">
      <c r="A241" s="12"/>
      <c r="D241" s="81"/>
      <c r="E241" s="81"/>
      <c r="F241" s="84"/>
      <c r="G241" s="81"/>
      <c r="H241" s="81"/>
      <c r="I241" s="84"/>
      <c r="J241" s="84"/>
      <c r="K241" s="84"/>
      <c r="L241" s="7"/>
      <c r="M241" s="7"/>
    </row>
    <row r="242" spans="1:13" ht="12">
      <c r="A242" s="12"/>
      <c r="C242" s="12" t="s">
        <v>175</v>
      </c>
      <c r="D242" s="64">
        <v>630</v>
      </c>
      <c r="E242" s="64"/>
      <c r="F242" s="64"/>
      <c r="G242" s="29"/>
      <c r="H242" s="29"/>
      <c r="I242" s="64">
        <v>637</v>
      </c>
      <c r="J242" s="64"/>
      <c r="K242" s="63"/>
      <c r="L242" s="11"/>
      <c r="M242" s="7"/>
    </row>
    <row r="243" spans="1:13" ht="12">
      <c r="A243" s="12"/>
      <c r="D243" s="64"/>
      <c r="E243" s="64"/>
      <c r="F243" s="64"/>
      <c r="G243" s="81"/>
      <c r="H243" s="81"/>
      <c r="I243" s="64"/>
      <c r="J243" s="64"/>
      <c r="K243" s="63"/>
      <c r="L243" s="7"/>
      <c r="M243" s="7"/>
    </row>
    <row r="244" spans="1:13" ht="12">
      <c r="A244" s="12"/>
      <c r="B244" s="12" t="s">
        <v>0</v>
      </c>
      <c r="C244" s="12" t="s">
        <v>176</v>
      </c>
      <c r="D244" s="64">
        <v>404</v>
      </c>
      <c r="E244" s="64"/>
      <c r="F244" s="64"/>
      <c r="G244" s="29"/>
      <c r="H244" s="29"/>
      <c r="I244" s="64">
        <v>416</v>
      </c>
      <c r="J244" s="64"/>
      <c r="K244" s="63"/>
      <c r="L244" s="11"/>
      <c r="M244" s="7"/>
    </row>
    <row r="245" spans="1:13" ht="12">
      <c r="A245" s="12"/>
      <c r="D245" s="64"/>
      <c r="E245" s="64"/>
      <c r="F245" s="64"/>
      <c r="G245" s="81"/>
      <c r="H245" s="81"/>
      <c r="I245" s="64"/>
      <c r="J245" s="64"/>
      <c r="K245" s="63"/>
      <c r="L245" s="7"/>
      <c r="M245" s="7"/>
    </row>
    <row r="246" spans="1:13" ht="12">
      <c r="A246" s="12"/>
      <c r="C246" s="12" t="s">
        <v>177</v>
      </c>
      <c r="D246" s="64">
        <f>+D242+D244</f>
        <v>1034</v>
      </c>
      <c r="E246" s="64">
        <f>+E242+E244</f>
        <v>0</v>
      </c>
      <c r="F246" s="64"/>
      <c r="G246" s="82"/>
      <c r="H246" s="82"/>
      <c r="I246" s="64">
        <f>SUM(I242:I244)</f>
        <v>1053</v>
      </c>
      <c r="J246" s="64">
        <f>SUM(J242:J244)</f>
        <v>0</v>
      </c>
      <c r="K246" s="63"/>
      <c r="L246" s="11"/>
      <c r="M246" s="7"/>
    </row>
    <row r="247" spans="1:13" ht="12">
      <c r="A247" s="12"/>
      <c r="C247" s="12"/>
      <c r="D247" s="64"/>
      <c r="E247" s="64"/>
      <c r="F247" s="64"/>
      <c r="G247" s="82"/>
      <c r="H247" s="82"/>
      <c r="I247" s="64"/>
      <c r="J247" s="64"/>
      <c r="K247" s="63"/>
      <c r="L247" s="11"/>
      <c r="M247" s="7"/>
    </row>
    <row r="248" spans="1:13" ht="12">
      <c r="A248" s="12"/>
      <c r="C248" s="12" t="s">
        <v>624</v>
      </c>
      <c r="D248" s="64">
        <v>1442</v>
      </c>
      <c r="E248" s="64"/>
      <c r="F248" s="64"/>
      <c r="G248" s="82"/>
      <c r="H248" s="82"/>
      <c r="I248" s="64">
        <v>1496</v>
      </c>
      <c r="J248" s="64"/>
      <c r="K248" s="63"/>
      <c r="L248" s="11"/>
      <c r="M248" s="7"/>
    </row>
    <row r="249" spans="1:13" ht="12">
      <c r="A249" s="12"/>
      <c r="D249" s="64"/>
      <c r="E249" s="64"/>
      <c r="F249" s="64"/>
      <c r="G249" s="81"/>
      <c r="H249" s="81"/>
      <c r="I249" s="81"/>
      <c r="J249" s="81"/>
      <c r="K249" s="63"/>
      <c r="L249" s="7"/>
      <c r="M249" s="7"/>
    </row>
    <row r="250" spans="1:13" ht="12">
      <c r="A250" s="12"/>
      <c r="C250" s="12" t="s">
        <v>178</v>
      </c>
      <c r="D250" s="63">
        <f>+D248+D246+D239</f>
        <v>2897</v>
      </c>
      <c r="E250" s="63">
        <f>+G466</f>
        <v>335.08</v>
      </c>
      <c r="F250" s="64">
        <f>D250/E250</f>
        <v>8.645696550077593</v>
      </c>
      <c r="G250" s="82"/>
      <c r="H250" s="82"/>
      <c r="I250" s="183">
        <f>SUM(I239,I246)+I248</f>
        <v>2979</v>
      </c>
      <c r="J250" s="82">
        <f>+I466</f>
        <v>377.85861127100236</v>
      </c>
      <c r="K250" s="63">
        <f>I250/J250</f>
        <v>7.8839013089566565</v>
      </c>
      <c r="L250" s="11"/>
      <c r="M250" s="7"/>
    </row>
    <row r="251" spans="1:13" ht="12">
      <c r="A251" s="12"/>
      <c r="I251" s="7"/>
      <c r="J251" s="7"/>
      <c r="L251" s="7"/>
      <c r="M251" s="7"/>
    </row>
    <row r="252" spans="1:13" ht="12">
      <c r="A252" s="12"/>
      <c r="I252" s="7"/>
      <c r="J252" s="7"/>
      <c r="L252" s="7"/>
      <c r="M252" s="7"/>
    </row>
    <row r="253" spans="1:13" ht="12">
      <c r="A253" s="12"/>
      <c r="I253" s="7"/>
      <c r="J253" s="7"/>
      <c r="L253" s="7"/>
      <c r="M253" s="7"/>
    </row>
    <row r="254" spans="1:13" ht="12">
      <c r="A254" s="12"/>
      <c r="I254" s="7"/>
      <c r="J254" s="7"/>
      <c r="L254" s="7"/>
      <c r="M254" s="7"/>
    </row>
    <row r="255" spans="1:13" ht="12">
      <c r="A255" s="12"/>
      <c r="C255" s="12" t="s">
        <v>179</v>
      </c>
      <c r="I255" s="7"/>
      <c r="J255" s="7"/>
      <c r="L255" s="7"/>
      <c r="M255" s="7"/>
    </row>
    <row r="256" spans="1:13" ht="12">
      <c r="A256" s="12"/>
      <c r="C256" s="12" t="s">
        <v>180</v>
      </c>
      <c r="I256" s="7"/>
      <c r="J256" s="7"/>
      <c r="L256" s="7"/>
      <c r="M256" s="7"/>
    </row>
    <row r="257" spans="1:13" ht="12">
      <c r="A257" s="12"/>
      <c r="J257" s="55"/>
      <c r="M257" s="55"/>
    </row>
    <row r="258" spans="1:13" ht="12">
      <c r="A258" s="12"/>
      <c r="B258" s="7" t="s">
        <v>625</v>
      </c>
      <c r="J258" s="55"/>
      <c r="M258" s="55"/>
    </row>
    <row r="259" spans="1:13" ht="12">
      <c r="A259" s="12"/>
      <c r="B259" s="7" t="s">
        <v>626</v>
      </c>
      <c r="J259" s="55"/>
      <c r="M259" s="55"/>
    </row>
    <row r="260" spans="1:13" ht="12">
      <c r="A260" s="12"/>
      <c r="J260" s="55"/>
      <c r="M260" s="55"/>
    </row>
    <row r="261" spans="1:13" ht="12">
      <c r="A261" s="12"/>
      <c r="J261" s="55"/>
      <c r="M261" s="55"/>
    </row>
    <row r="262" spans="1:13" ht="12">
      <c r="A262" s="12"/>
      <c r="J262" s="55"/>
      <c r="M262" s="55"/>
    </row>
    <row r="263" spans="1:13" ht="12">
      <c r="A263" s="12"/>
      <c r="J263" s="55"/>
      <c r="M263" s="55"/>
    </row>
    <row r="264" spans="1:13" ht="12">
      <c r="A264" s="12"/>
      <c r="J264" s="55"/>
      <c r="M264" s="55"/>
    </row>
    <row r="265" spans="1:13" ht="12">
      <c r="A265" s="12"/>
      <c r="J265" s="55"/>
      <c r="M265" s="55"/>
    </row>
    <row r="266" spans="1:13" ht="12">
      <c r="A266" s="12"/>
      <c r="J266" s="55"/>
      <c r="M266" s="55"/>
    </row>
    <row r="267" spans="1:13" ht="12">
      <c r="A267" s="12"/>
      <c r="J267" s="55"/>
      <c r="M267" s="55"/>
    </row>
    <row r="268" spans="1:13" ht="12">
      <c r="A268" s="12"/>
      <c r="J268" s="55"/>
      <c r="M268" s="55"/>
    </row>
    <row r="269" spans="1:13" ht="12">
      <c r="A269" s="12"/>
      <c r="J269" s="55"/>
      <c r="M269" s="55"/>
    </row>
    <row r="270" spans="1:13" ht="12">
      <c r="A270" s="12"/>
      <c r="J270" s="55"/>
      <c r="M270" s="55"/>
    </row>
    <row r="271" spans="1:13" ht="12">
      <c r="A271" s="12"/>
      <c r="J271" s="55"/>
      <c r="M271" s="55"/>
    </row>
    <row r="272" spans="1:13" ht="12">
      <c r="A272" s="12"/>
      <c r="J272" s="55"/>
      <c r="M272" s="55"/>
    </row>
    <row r="273" spans="1:13" s="46" customFormat="1" ht="12">
      <c r="A273" s="19" t="str">
        <f>$A$36</f>
        <v>Institution No.:  GFE</v>
      </c>
      <c r="E273" s="51"/>
      <c r="I273" s="52"/>
      <c r="J273" s="53"/>
      <c r="L273" s="52"/>
      <c r="M273" s="18" t="s">
        <v>60</v>
      </c>
    </row>
    <row r="274" spans="5:13" s="46" customFormat="1" ht="12">
      <c r="E274" s="51" t="s">
        <v>213</v>
      </c>
      <c r="I274" s="52"/>
      <c r="J274" s="53"/>
      <c r="L274" s="52"/>
      <c r="M274" s="53"/>
    </row>
    <row r="275" spans="1:13" ht="12">
      <c r="A275" s="19" t="s">
        <v>664</v>
      </c>
      <c r="C275" s="7" t="s">
        <v>666</v>
      </c>
      <c r="F275" s="34"/>
      <c r="G275" s="34"/>
      <c r="H275" s="34"/>
      <c r="I275" s="85"/>
      <c r="J275" s="86"/>
      <c r="L275" s="17"/>
      <c r="M275" s="20" t="str">
        <f>$M$3</f>
        <v>Date: 10/1/2008</v>
      </c>
    </row>
    <row r="276" spans="1:13" ht="12">
      <c r="A276" s="21" t="s">
        <v>1</v>
      </c>
      <c r="B276" s="21" t="s">
        <v>1</v>
      </c>
      <c r="C276" s="21" t="s">
        <v>1</v>
      </c>
      <c r="D276" s="21" t="s">
        <v>1</v>
      </c>
      <c r="E276" s="21" t="s">
        <v>1</v>
      </c>
      <c r="F276" s="21" t="s">
        <v>1</v>
      </c>
      <c r="G276" s="21"/>
      <c r="H276" s="21"/>
      <c r="I276" s="22" t="s">
        <v>1</v>
      </c>
      <c r="J276" s="23" t="s">
        <v>1</v>
      </c>
      <c r="K276" s="21" t="s">
        <v>1</v>
      </c>
      <c r="L276" s="22" t="s">
        <v>1</v>
      </c>
      <c r="M276" s="23" t="s">
        <v>1</v>
      </c>
    </row>
    <row r="277" spans="1:13" ht="12">
      <c r="A277" s="24" t="s">
        <v>2</v>
      </c>
      <c r="E277" s="24" t="s">
        <v>2</v>
      </c>
      <c r="F277" s="25"/>
      <c r="G277" s="26"/>
      <c r="H277" s="25" t="s">
        <v>249</v>
      </c>
      <c r="I277" s="26"/>
      <c r="J277" s="27" t="s">
        <v>251</v>
      </c>
      <c r="K277" s="25"/>
      <c r="L277" s="26"/>
      <c r="M277" s="27" t="s">
        <v>260</v>
      </c>
    </row>
    <row r="278" spans="1:13" ht="33.75" customHeight="1">
      <c r="A278" s="24" t="s">
        <v>4</v>
      </c>
      <c r="C278" s="28" t="s">
        <v>20</v>
      </c>
      <c r="D278" s="87" t="s">
        <v>281</v>
      </c>
      <c r="E278" s="24" t="s">
        <v>4</v>
      </c>
      <c r="F278" s="25"/>
      <c r="G278" s="26" t="s">
        <v>6</v>
      </c>
      <c r="H278" s="25" t="s">
        <v>7</v>
      </c>
      <c r="I278" s="26" t="s">
        <v>6</v>
      </c>
      <c r="J278" s="27" t="s">
        <v>7</v>
      </c>
      <c r="K278" s="25"/>
      <c r="L278" s="26" t="s">
        <v>6</v>
      </c>
      <c r="M278" s="27" t="s">
        <v>8</v>
      </c>
    </row>
    <row r="279" spans="1:13" ht="12">
      <c r="A279" s="21" t="s">
        <v>1</v>
      </c>
      <c r="B279" s="21" t="s">
        <v>1</v>
      </c>
      <c r="C279" s="21" t="s">
        <v>1</v>
      </c>
      <c r="D279" s="21" t="s">
        <v>1</v>
      </c>
      <c r="E279" s="21" t="s">
        <v>1</v>
      </c>
      <c r="F279" s="21" t="s">
        <v>1</v>
      </c>
      <c r="G279" s="21"/>
      <c r="H279" s="21"/>
      <c r="I279" s="22" t="s">
        <v>1</v>
      </c>
      <c r="J279" s="23" t="s">
        <v>1</v>
      </c>
      <c r="K279" s="21" t="s">
        <v>1</v>
      </c>
      <c r="L279" s="22" t="s">
        <v>1</v>
      </c>
      <c r="M279" s="23" t="s">
        <v>1</v>
      </c>
    </row>
    <row r="280" spans="1:13" ht="12">
      <c r="A280" s="11">
        <v>1</v>
      </c>
      <c r="C280" s="12" t="s">
        <v>61</v>
      </c>
      <c r="E280" s="11">
        <v>1</v>
      </c>
      <c r="I280" s="17"/>
      <c r="J280" s="55"/>
      <c r="L280" s="17"/>
      <c r="M280" s="55"/>
    </row>
    <row r="281" spans="1:13" ht="12">
      <c r="A281" s="11">
        <f>(A280+1)</f>
        <v>2</v>
      </c>
      <c r="C281" s="12" t="s">
        <v>62</v>
      </c>
      <c r="D281" s="12" t="s">
        <v>263</v>
      </c>
      <c r="E281" s="11">
        <f>(E280+1)</f>
        <v>2</v>
      </c>
      <c r="F281" s="13"/>
      <c r="G281" s="67"/>
      <c r="H281" s="2">
        <v>4486441</v>
      </c>
      <c r="I281" s="67"/>
      <c r="J281" s="2">
        <v>4369106</v>
      </c>
      <c r="K281" s="2"/>
      <c r="L281" s="67"/>
      <c r="M281" s="2">
        <v>4445467</v>
      </c>
    </row>
    <row r="282" spans="1:13" ht="12">
      <c r="A282" s="11">
        <f>(A281+1)</f>
        <v>3</v>
      </c>
      <c r="D282" s="12" t="s">
        <v>264</v>
      </c>
      <c r="E282" s="11">
        <f>(E281+1)</f>
        <v>3</v>
      </c>
      <c r="F282" s="13"/>
      <c r="G282" s="67"/>
      <c r="H282" s="2">
        <v>480059</v>
      </c>
      <c r="I282" s="67"/>
      <c r="J282" s="2">
        <v>675045</v>
      </c>
      <c r="K282" s="2"/>
      <c r="L282" s="67"/>
      <c r="M282" s="2">
        <v>646105</v>
      </c>
    </row>
    <row r="283" spans="1:13" ht="12">
      <c r="A283" s="11">
        <v>4</v>
      </c>
      <c r="C283" s="12" t="s">
        <v>63</v>
      </c>
      <c r="D283" s="12" t="s">
        <v>265</v>
      </c>
      <c r="E283" s="11">
        <v>4</v>
      </c>
      <c r="F283" s="13"/>
      <c r="G283" s="67"/>
      <c r="H283" s="2">
        <v>1101037</v>
      </c>
      <c r="I283" s="67"/>
      <c r="J283" s="2">
        <v>1142718</v>
      </c>
      <c r="K283" s="2"/>
      <c r="L283" s="67"/>
      <c r="M283" s="2">
        <v>1612270</v>
      </c>
    </row>
    <row r="284" spans="1:13" ht="12">
      <c r="A284" s="11">
        <f>(A283+1)</f>
        <v>5</v>
      </c>
      <c r="D284" s="12" t="s">
        <v>266</v>
      </c>
      <c r="E284" s="11">
        <f>(E283+1)</f>
        <v>5</v>
      </c>
      <c r="F284" s="13"/>
      <c r="G284" s="67"/>
      <c r="H284" s="2">
        <v>91835</v>
      </c>
      <c r="I284" s="67"/>
      <c r="J284" s="2">
        <v>92259</v>
      </c>
      <c r="K284" s="2"/>
      <c r="L284" s="67"/>
      <c r="M284" s="2">
        <v>89271</v>
      </c>
    </row>
    <row r="285" spans="1:13" ht="12">
      <c r="A285" s="11">
        <f>(A284+1)</f>
        <v>6</v>
      </c>
      <c r="C285" s="12" t="s">
        <v>64</v>
      </c>
      <c r="E285" s="11">
        <f>(E284+1)</f>
        <v>6</v>
      </c>
      <c r="G285" s="64">
        <f>SUM(G280:G284)</f>
        <v>0</v>
      </c>
      <c r="H285" s="65">
        <f>SUM(H280:H284)</f>
        <v>6159372</v>
      </c>
      <c r="I285" s="64">
        <f>SUM(I280:I284)</f>
        <v>0</v>
      </c>
      <c r="J285" s="65">
        <v>6279128</v>
      </c>
      <c r="K285" s="65"/>
      <c r="L285" s="64">
        <f>SUM(L280:L284)</f>
        <v>0</v>
      </c>
      <c r="M285" s="65">
        <f>SUM(M280:M284)</f>
        <v>6793113</v>
      </c>
    </row>
    <row r="286" spans="1:13" ht="12">
      <c r="A286" s="11">
        <f>(A285+1)</f>
        <v>7</v>
      </c>
      <c r="C286" s="12" t="s">
        <v>65</v>
      </c>
      <c r="E286" s="11">
        <f>(E285+1)</f>
        <v>7</v>
      </c>
      <c r="G286" s="64"/>
      <c r="H286" s="65"/>
      <c r="I286" s="63"/>
      <c r="J286" s="62"/>
      <c r="K286" s="65"/>
      <c r="L286" s="63"/>
      <c r="M286" s="62"/>
    </row>
    <row r="287" spans="1:13" ht="12">
      <c r="A287" s="11">
        <f>(A286+1)</f>
        <v>8</v>
      </c>
      <c r="C287" s="12" t="s">
        <v>62</v>
      </c>
      <c r="D287" s="12" t="s">
        <v>263</v>
      </c>
      <c r="E287" s="11">
        <f>(E286+1)</f>
        <v>8</v>
      </c>
      <c r="F287" s="13"/>
      <c r="G287" s="67"/>
      <c r="H287" s="2">
        <v>10258659</v>
      </c>
      <c r="I287" s="67"/>
      <c r="J287" s="2">
        <f>10554128+499</f>
        <v>10554627</v>
      </c>
      <c r="K287" s="2"/>
      <c r="L287" s="67"/>
      <c r="M287" s="2">
        <v>11502025</v>
      </c>
    </row>
    <row r="288" spans="1:13" ht="12">
      <c r="A288" s="11">
        <v>9</v>
      </c>
      <c r="D288" s="12" t="s">
        <v>264</v>
      </c>
      <c r="E288" s="11">
        <v>9</v>
      </c>
      <c r="F288" s="13"/>
      <c r="G288" s="67"/>
      <c r="H288" s="2">
        <v>2707387</v>
      </c>
      <c r="I288" s="67"/>
      <c r="J288" s="2">
        <v>2805707</v>
      </c>
      <c r="K288" s="2"/>
      <c r="L288" s="67"/>
      <c r="M288" s="2">
        <f>2960451+160392</f>
        <v>3120843</v>
      </c>
    </row>
    <row r="289" spans="1:13" ht="12">
      <c r="A289" s="11">
        <v>10</v>
      </c>
      <c r="C289" s="12" t="s">
        <v>63</v>
      </c>
      <c r="D289" s="12" t="s">
        <v>265</v>
      </c>
      <c r="E289" s="11">
        <v>10</v>
      </c>
      <c r="F289" s="13"/>
      <c r="G289" s="67"/>
      <c r="H289" s="2">
        <v>2555693</v>
      </c>
      <c r="I289" s="67"/>
      <c r="J289" s="2">
        <v>2891673</v>
      </c>
      <c r="K289" s="2"/>
      <c r="L289" s="67"/>
      <c r="M289" s="2">
        <v>2841474</v>
      </c>
    </row>
    <row r="290" spans="1:13" ht="12">
      <c r="A290" s="11">
        <f>(A289+1)</f>
        <v>11</v>
      </c>
      <c r="D290" s="12" t="s">
        <v>266</v>
      </c>
      <c r="E290" s="11">
        <f>(E289+1)</f>
        <v>11</v>
      </c>
      <c r="F290" s="13"/>
      <c r="G290" s="67"/>
      <c r="H290" s="2">
        <v>653646</v>
      </c>
      <c r="I290" s="67"/>
      <c r="J290" s="2">
        <v>800762</v>
      </c>
      <c r="K290" s="2"/>
      <c r="L290" s="67"/>
      <c r="M290" s="2">
        <v>782399</v>
      </c>
    </row>
    <row r="291" spans="1:13" ht="12">
      <c r="A291" s="11">
        <f>(A290+1)</f>
        <v>12</v>
      </c>
      <c r="C291" s="12" t="s">
        <v>66</v>
      </c>
      <c r="E291" s="11">
        <f>(E290+1)</f>
        <v>12</v>
      </c>
      <c r="G291" s="64">
        <f>SUM(G287:G290)</f>
        <v>0</v>
      </c>
      <c r="H291" s="65">
        <f>SUM(H287:H290)</f>
        <v>16175385</v>
      </c>
      <c r="I291" s="64">
        <f>SUM(I287:I290)</f>
        <v>0</v>
      </c>
      <c r="J291" s="65">
        <f>SUM(J287:J290)</f>
        <v>17052769</v>
      </c>
      <c r="K291" s="65"/>
      <c r="L291" s="64">
        <f>SUM(L287:L290)</f>
        <v>0</v>
      </c>
      <c r="M291" s="65">
        <f>SUM(M287:M290)</f>
        <v>18246741</v>
      </c>
    </row>
    <row r="292" spans="1:13" ht="12">
      <c r="A292" s="11">
        <f>(A291+1)</f>
        <v>13</v>
      </c>
      <c r="C292" s="12" t="s">
        <v>67</v>
      </c>
      <c r="E292" s="11">
        <f>(E291+1)</f>
        <v>13</v>
      </c>
      <c r="G292" s="64"/>
      <c r="H292" s="65"/>
      <c r="I292" s="63"/>
      <c r="J292" s="62"/>
      <c r="K292" s="65"/>
      <c r="L292" s="63"/>
      <c r="M292" s="62"/>
    </row>
    <row r="293" spans="1:13" ht="12">
      <c r="A293" s="11">
        <f>(A292+1)</f>
        <v>14</v>
      </c>
      <c r="C293" s="12" t="s">
        <v>62</v>
      </c>
      <c r="D293" s="12" t="s">
        <v>263</v>
      </c>
      <c r="E293" s="11">
        <f>(E292+1)</f>
        <v>14</v>
      </c>
      <c r="F293" s="13"/>
      <c r="G293" s="67">
        <v>0</v>
      </c>
      <c r="H293" s="2">
        <v>0</v>
      </c>
      <c r="I293" s="67"/>
      <c r="J293" s="2"/>
      <c r="K293" s="2"/>
      <c r="L293" s="67"/>
      <c r="M293" s="2"/>
    </row>
    <row r="294" spans="1:13" ht="12">
      <c r="A294" s="11">
        <v>15</v>
      </c>
      <c r="C294" s="12"/>
      <c r="D294" s="12" t="s">
        <v>264</v>
      </c>
      <c r="E294" s="11">
        <v>15</v>
      </c>
      <c r="F294" s="13"/>
      <c r="G294" s="67">
        <v>0</v>
      </c>
      <c r="H294" s="2">
        <v>0</v>
      </c>
      <c r="I294" s="67"/>
      <c r="J294" s="2"/>
      <c r="K294" s="2"/>
      <c r="L294" s="67"/>
      <c r="M294" s="2"/>
    </row>
    <row r="295" spans="1:13" ht="12">
      <c r="A295" s="11">
        <v>16</v>
      </c>
      <c r="C295" s="12" t="s">
        <v>63</v>
      </c>
      <c r="D295" s="12" t="s">
        <v>265</v>
      </c>
      <c r="E295" s="11">
        <v>16</v>
      </c>
      <c r="F295" s="13"/>
      <c r="G295" s="67">
        <v>0</v>
      </c>
      <c r="H295" s="2">
        <v>0</v>
      </c>
      <c r="I295" s="67"/>
      <c r="J295" s="2"/>
      <c r="K295" s="2"/>
      <c r="L295" s="67"/>
      <c r="M295" s="2"/>
    </row>
    <row r="296" spans="1:13" ht="12">
      <c r="A296" s="11">
        <v>17</v>
      </c>
      <c r="C296" s="12"/>
      <c r="D296" s="12" t="s">
        <v>266</v>
      </c>
      <c r="E296" s="11">
        <v>17</v>
      </c>
      <c r="G296" s="64">
        <v>0</v>
      </c>
      <c r="H296" s="65">
        <v>0</v>
      </c>
      <c r="I296" s="64"/>
      <c r="J296" s="65"/>
      <c r="K296" s="65"/>
      <c r="L296" s="64"/>
      <c r="M296" s="65"/>
    </row>
    <row r="297" spans="1:13" ht="12">
      <c r="A297" s="11">
        <v>18</v>
      </c>
      <c r="C297" s="12" t="s">
        <v>68</v>
      </c>
      <c r="D297" s="12"/>
      <c r="E297" s="11">
        <v>18</v>
      </c>
      <c r="G297" s="64">
        <f>SUM(G293:G296)</f>
        <v>0</v>
      </c>
      <c r="H297" s="65">
        <f>SUM(H293:H296)</f>
        <v>0</v>
      </c>
      <c r="I297" s="64">
        <f>SUM(I293:I296)</f>
        <v>0</v>
      </c>
      <c r="J297" s="65">
        <f>SUM(J293:J296)</f>
        <v>0</v>
      </c>
      <c r="K297" s="65"/>
      <c r="L297" s="64">
        <f>SUM(L293:L296)</f>
        <v>0</v>
      </c>
      <c r="M297" s="65">
        <f>SUM(M293:M296)</f>
        <v>0</v>
      </c>
    </row>
    <row r="298" spans="1:13" ht="12">
      <c r="A298" s="11">
        <v>19</v>
      </c>
      <c r="C298" s="12" t="s">
        <v>69</v>
      </c>
      <c r="D298" s="12"/>
      <c r="E298" s="11">
        <v>19</v>
      </c>
      <c r="G298" s="64"/>
      <c r="H298" s="65"/>
      <c r="I298" s="64"/>
      <c r="J298" s="65"/>
      <c r="K298" s="65"/>
      <c r="L298" s="64"/>
      <c r="M298" s="65"/>
    </row>
    <row r="299" spans="1:13" ht="12">
      <c r="A299" s="11">
        <v>20</v>
      </c>
      <c r="C299" s="12" t="s">
        <v>62</v>
      </c>
      <c r="D299" s="12" t="s">
        <v>263</v>
      </c>
      <c r="E299" s="11">
        <v>20</v>
      </c>
      <c r="F299" s="88"/>
      <c r="G299" s="67"/>
      <c r="H299" s="2">
        <v>10114178</v>
      </c>
      <c r="I299" s="67"/>
      <c r="J299" s="2">
        <f>10537726</f>
        <v>10537726</v>
      </c>
      <c r="K299" s="2"/>
      <c r="L299" s="67"/>
      <c r="M299" s="2">
        <v>11468955</v>
      </c>
    </row>
    <row r="300" spans="1:13" ht="12">
      <c r="A300" s="11">
        <v>21</v>
      </c>
      <c r="C300" s="12"/>
      <c r="D300" s="12" t="s">
        <v>264</v>
      </c>
      <c r="E300" s="11">
        <v>21</v>
      </c>
      <c r="F300" s="88"/>
      <c r="G300" s="67"/>
      <c r="H300" s="2">
        <v>2813945</v>
      </c>
      <c r="I300" s="67"/>
      <c r="J300" s="2">
        <v>3179368</v>
      </c>
      <c r="K300" s="2"/>
      <c r="L300" s="67"/>
      <c r="M300" s="2">
        <v>3324469</v>
      </c>
    </row>
    <row r="301" spans="1:13" ht="12">
      <c r="A301" s="11">
        <v>22</v>
      </c>
      <c r="C301" s="12" t="s">
        <v>63</v>
      </c>
      <c r="D301" s="12" t="s">
        <v>265</v>
      </c>
      <c r="E301" s="11">
        <v>22</v>
      </c>
      <c r="F301" s="88"/>
      <c r="G301" s="67"/>
      <c r="H301" s="2">
        <v>2478883</v>
      </c>
      <c r="I301" s="67"/>
      <c r="J301" s="2">
        <v>2548590</v>
      </c>
      <c r="K301" s="2"/>
      <c r="L301" s="67"/>
      <c r="M301" s="2">
        <v>2843984</v>
      </c>
    </row>
    <row r="302" spans="1:13" ht="12">
      <c r="A302" s="11">
        <v>23</v>
      </c>
      <c r="D302" s="12" t="s">
        <v>266</v>
      </c>
      <c r="E302" s="11">
        <v>23</v>
      </c>
      <c r="F302" s="88"/>
      <c r="G302" s="67"/>
      <c r="H302" s="2">
        <v>680844</v>
      </c>
      <c r="I302" s="67"/>
      <c r="J302" s="2">
        <v>798196</v>
      </c>
      <c r="K302" s="2"/>
      <c r="L302" s="67"/>
      <c r="M302" s="2">
        <v>792227</v>
      </c>
    </row>
    <row r="303" spans="1:13" ht="12">
      <c r="A303" s="11">
        <v>24</v>
      </c>
      <c r="C303" s="12" t="s">
        <v>70</v>
      </c>
      <c r="E303" s="11">
        <v>24</v>
      </c>
      <c r="F303" s="59"/>
      <c r="G303" s="63">
        <f>SUM(G299:G302)</f>
        <v>0</v>
      </c>
      <c r="H303" s="62">
        <f>SUM(H299:H302)</f>
        <v>16087850</v>
      </c>
      <c r="I303" s="63">
        <f>SUM(I299:I302)</f>
        <v>0</v>
      </c>
      <c r="J303" s="62">
        <f>SUM(J299:J302)</f>
        <v>17063880</v>
      </c>
      <c r="K303" s="62"/>
      <c r="L303" s="63">
        <f>SUM(L299:L302)</f>
        <v>0</v>
      </c>
      <c r="M303" s="62">
        <f>SUM(M299:M302)</f>
        <v>18429635</v>
      </c>
    </row>
    <row r="304" spans="1:13" ht="12">
      <c r="A304" s="11">
        <v>25</v>
      </c>
      <c r="C304" s="12" t="s">
        <v>71</v>
      </c>
      <c r="E304" s="11">
        <v>25</v>
      </c>
      <c r="G304" s="64"/>
      <c r="H304" s="65"/>
      <c r="I304" s="64"/>
      <c r="J304" s="65"/>
      <c r="K304" s="65"/>
      <c r="L304" s="64"/>
      <c r="M304" s="65"/>
    </row>
    <row r="305" spans="1:13" ht="12">
      <c r="A305" s="11">
        <v>26</v>
      </c>
      <c r="C305" s="12" t="s">
        <v>62</v>
      </c>
      <c r="D305" s="12" t="s">
        <v>263</v>
      </c>
      <c r="E305" s="11">
        <v>26</v>
      </c>
      <c r="G305" s="64">
        <f aca="true" t="shared" si="6" ref="G305:J308">G281+G287+G293+G299</f>
        <v>0</v>
      </c>
      <c r="H305" s="65">
        <f t="shared" si="6"/>
        <v>24859278</v>
      </c>
      <c r="I305" s="64">
        <f t="shared" si="6"/>
        <v>0</v>
      </c>
      <c r="J305" s="65">
        <f t="shared" si="6"/>
        <v>25461459</v>
      </c>
      <c r="K305" s="65"/>
      <c r="L305" s="64">
        <f aca="true" t="shared" si="7" ref="L305:M308">L281+L287+L293+L299</f>
        <v>0</v>
      </c>
      <c r="M305" s="65">
        <f t="shared" si="7"/>
        <v>27416447</v>
      </c>
    </row>
    <row r="306" spans="1:13" ht="12">
      <c r="A306" s="11">
        <v>27</v>
      </c>
      <c r="C306" s="12"/>
      <c r="D306" s="12" t="s">
        <v>264</v>
      </c>
      <c r="E306" s="11">
        <v>27</v>
      </c>
      <c r="G306" s="64">
        <f>G282+G288+G294+G300</f>
        <v>0</v>
      </c>
      <c r="H306" s="65">
        <f t="shared" si="6"/>
        <v>6001391</v>
      </c>
      <c r="I306" s="64">
        <f t="shared" si="6"/>
        <v>0</v>
      </c>
      <c r="J306" s="65">
        <f t="shared" si="6"/>
        <v>6660120</v>
      </c>
      <c r="K306" s="65"/>
      <c r="L306" s="64">
        <f t="shared" si="7"/>
        <v>0</v>
      </c>
      <c r="M306" s="65">
        <f>M282+M288+M294+M300</f>
        <v>7091417</v>
      </c>
    </row>
    <row r="307" spans="1:13" ht="12">
      <c r="A307" s="11">
        <v>28</v>
      </c>
      <c r="C307" s="12" t="s">
        <v>63</v>
      </c>
      <c r="D307" s="12" t="s">
        <v>265</v>
      </c>
      <c r="E307" s="11">
        <v>28</v>
      </c>
      <c r="G307" s="64">
        <f t="shared" si="6"/>
        <v>0</v>
      </c>
      <c r="H307" s="65">
        <f t="shared" si="6"/>
        <v>6135613</v>
      </c>
      <c r="I307" s="64">
        <f t="shared" si="6"/>
        <v>0</v>
      </c>
      <c r="J307" s="65">
        <f t="shared" si="6"/>
        <v>6582981</v>
      </c>
      <c r="K307" s="65"/>
      <c r="L307" s="64">
        <f t="shared" si="7"/>
        <v>0</v>
      </c>
      <c r="M307" s="65">
        <f t="shared" si="7"/>
        <v>7297728</v>
      </c>
    </row>
    <row r="308" spans="1:13" ht="12">
      <c r="A308" s="11">
        <v>29</v>
      </c>
      <c r="D308" s="12" t="s">
        <v>266</v>
      </c>
      <c r="E308" s="11">
        <v>29</v>
      </c>
      <c r="G308" s="64">
        <f t="shared" si="6"/>
        <v>0</v>
      </c>
      <c r="H308" s="65">
        <f t="shared" si="6"/>
        <v>1426325</v>
      </c>
      <c r="I308" s="64">
        <f t="shared" si="6"/>
        <v>0</v>
      </c>
      <c r="J308" s="65">
        <f t="shared" si="6"/>
        <v>1691217</v>
      </c>
      <c r="K308" s="65"/>
      <c r="L308" s="64">
        <f t="shared" si="7"/>
        <v>0</v>
      </c>
      <c r="M308" s="65">
        <f t="shared" si="7"/>
        <v>1663897</v>
      </c>
    </row>
    <row r="309" spans="1:13" ht="12">
      <c r="A309" s="11">
        <v>30</v>
      </c>
      <c r="E309" s="11">
        <v>30</v>
      </c>
      <c r="G309" s="64"/>
      <c r="H309" s="65"/>
      <c r="I309" s="63"/>
      <c r="J309" s="62"/>
      <c r="K309" s="65"/>
      <c r="L309" s="63"/>
      <c r="M309" s="62"/>
    </row>
    <row r="310" spans="1:13" ht="12">
      <c r="A310" s="11">
        <v>31</v>
      </c>
      <c r="C310" s="12" t="s">
        <v>72</v>
      </c>
      <c r="E310" s="11">
        <v>31</v>
      </c>
      <c r="G310" s="64">
        <v>2579</v>
      </c>
      <c r="H310" s="65">
        <f>SUM(H305:H306)</f>
        <v>30860669</v>
      </c>
      <c r="I310" s="64">
        <v>2616</v>
      </c>
      <c r="J310" s="65">
        <f>SUM(J305:J306)</f>
        <v>32121579</v>
      </c>
      <c r="K310" s="65"/>
      <c r="L310" s="64">
        <v>2649</v>
      </c>
      <c r="M310" s="65">
        <f>SUM(M305:M306)</f>
        <v>34507864</v>
      </c>
    </row>
    <row r="311" spans="1:13" ht="12">
      <c r="A311" s="11">
        <v>32</v>
      </c>
      <c r="C311" s="12" t="s">
        <v>73</v>
      </c>
      <c r="E311" s="11">
        <v>32</v>
      </c>
      <c r="G311" s="64">
        <v>318</v>
      </c>
      <c r="H311" s="65">
        <f>SUM(H307:H308)</f>
        <v>7561938</v>
      </c>
      <c r="I311" s="64">
        <v>363</v>
      </c>
      <c r="J311" s="65">
        <f>SUM(J307:J308)</f>
        <v>8274198</v>
      </c>
      <c r="K311" s="65"/>
      <c r="L311" s="64">
        <v>382</v>
      </c>
      <c r="M311" s="65">
        <f>SUM(M307:M308)</f>
        <v>8961625</v>
      </c>
    </row>
    <row r="312" spans="1:13" ht="12">
      <c r="A312" s="11">
        <v>33</v>
      </c>
      <c r="C312" s="12" t="s">
        <v>74</v>
      </c>
      <c r="E312" s="11">
        <v>33</v>
      </c>
      <c r="F312" s="59"/>
      <c r="G312" s="63">
        <v>2476</v>
      </c>
      <c r="H312" s="62">
        <f aca="true" t="shared" si="8" ref="H312:J313">SUM(H305,H307)</f>
        <v>30994891</v>
      </c>
      <c r="I312" s="63">
        <v>2549</v>
      </c>
      <c r="J312" s="62">
        <f t="shared" si="8"/>
        <v>32044440</v>
      </c>
      <c r="K312" s="62"/>
      <c r="L312" s="63">
        <v>2617</v>
      </c>
      <c r="M312" s="62">
        <f>SUM(M305,M307)</f>
        <v>34714175</v>
      </c>
    </row>
    <row r="313" spans="1:13" ht="12">
      <c r="A313" s="11">
        <v>34</v>
      </c>
      <c r="C313" s="12" t="s">
        <v>218</v>
      </c>
      <c r="E313" s="11">
        <v>34</v>
      </c>
      <c r="F313" s="59"/>
      <c r="G313" s="63">
        <v>421</v>
      </c>
      <c r="H313" s="62">
        <f t="shared" si="8"/>
        <v>7427716</v>
      </c>
      <c r="I313" s="63">
        <v>430</v>
      </c>
      <c r="J313" s="62">
        <f t="shared" si="8"/>
        <v>8351337</v>
      </c>
      <c r="K313" s="62"/>
      <c r="L313" s="63">
        <v>414</v>
      </c>
      <c r="M313" s="62">
        <f>SUM(M306,M308)</f>
        <v>8755314</v>
      </c>
    </row>
    <row r="314" spans="1:13" ht="12">
      <c r="A314" s="12"/>
      <c r="C314" s="21" t="s">
        <v>1</v>
      </c>
      <c r="D314" s="21" t="s">
        <v>1</v>
      </c>
      <c r="E314" s="21" t="s">
        <v>1</v>
      </c>
      <c r="F314" s="21" t="s">
        <v>1</v>
      </c>
      <c r="G314" s="89"/>
      <c r="H314" s="21"/>
      <c r="I314" s="21" t="s">
        <v>1</v>
      </c>
      <c r="J314" s="21" t="s">
        <v>1</v>
      </c>
      <c r="K314" s="21" t="s">
        <v>1</v>
      </c>
      <c r="L314" s="21" t="s">
        <v>1</v>
      </c>
      <c r="M314" s="21"/>
    </row>
    <row r="315" spans="1:13" ht="13.5" customHeight="1">
      <c r="A315" s="11">
        <v>35</v>
      </c>
      <c r="C315" s="7" t="s">
        <v>75</v>
      </c>
      <c r="E315" s="11">
        <v>35</v>
      </c>
      <c r="G315" s="64">
        <f>SUM(G312:G313)</f>
        <v>2897</v>
      </c>
      <c r="H315" s="65">
        <f>SUM(H312:H313)</f>
        <v>38422607</v>
      </c>
      <c r="I315" s="64">
        <f>SUM(I312:I313)</f>
        <v>2979</v>
      </c>
      <c r="J315" s="65">
        <f>SUM(J312:J313)</f>
        <v>40395777</v>
      </c>
      <c r="K315" s="65"/>
      <c r="L315" s="64">
        <f>SUM(L312:L313)</f>
        <v>3031</v>
      </c>
      <c r="M315" s="65">
        <f>SUM(M312:M313)</f>
        <v>43469489</v>
      </c>
    </row>
    <row r="316" spans="3:13" ht="13.5" customHeight="1">
      <c r="C316" s="12" t="s">
        <v>276</v>
      </c>
      <c r="F316" s="90" t="s">
        <v>1</v>
      </c>
      <c r="G316" s="90"/>
      <c r="H316" s="90"/>
      <c r="I316" s="22"/>
      <c r="J316" s="23"/>
      <c r="K316" s="90"/>
      <c r="L316" s="22"/>
      <c r="M316" s="23"/>
    </row>
    <row r="317" spans="3:13" ht="12" hidden="1">
      <c r="C317" s="12"/>
      <c r="F317" s="90"/>
      <c r="G317" s="90"/>
      <c r="H317" s="90"/>
      <c r="I317" s="22"/>
      <c r="J317" s="23"/>
      <c r="K317" s="90"/>
      <c r="L317" s="22"/>
      <c r="M317" s="23"/>
    </row>
    <row r="318" ht="12" hidden="1"/>
    <row r="319" spans="1:13" ht="24" customHeight="1">
      <c r="A319" s="7">
        <v>36</v>
      </c>
      <c r="C319" s="215" t="s">
        <v>278</v>
      </c>
      <c r="E319" s="7">
        <v>36</v>
      </c>
      <c r="F319" s="90"/>
      <c r="G319" s="90"/>
      <c r="H319" s="146">
        <v>4792437</v>
      </c>
      <c r="I319" s="22"/>
      <c r="J319" s="180">
        <f>6341845+623814</f>
        <v>6965659</v>
      </c>
      <c r="K319" s="90"/>
      <c r="L319" s="22"/>
      <c r="M319" s="146">
        <f>7514957+773665</f>
        <v>8288622</v>
      </c>
    </row>
    <row r="320" spans="3:13" ht="12">
      <c r="C320" s="7" t="s">
        <v>214</v>
      </c>
      <c r="F320" s="90"/>
      <c r="G320" s="90"/>
      <c r="H320" s="90"/>
      <c r="I320" s="22"/>
      <c r="J320" s="55"/>
      <c r="K320" s="90"/>
      <c r="L320" s="22"/>
      <c r="M320" s="55"/>
    </row>
    <row r="321" ht="12">
      <c r="A321" s="12"/>
    </row>
    <row r="322" spans="1:13" s="46" customFormat="1" ht="12">
      <c r="A322" s="19" t="str">
        <f>$A$36</f>
        <v>Institution No.:  GFE</v>
      </c>
      <c r="E322" s="51"/>
      <c r="I322" s="52"/>
      <c r="J322" s="53"/>
      <c r="L322" s="52"/>
      <c r="M322" s="91" t="s">
        <v>76</v>
      </c>
    </row>
    <row r="323" spans="4:13" s="46" customFormat="1" ht="12">
      <c r="D323" s="60" t="s">
        <v>279</v>
      </c>
      <c r="E323" s="51"/>
      <c r="I323" s="52"/>
      <c r="J323" s="53"/>
      <c r="L323" s="52"/>
      <c r="M323" s="53"/>
    </row>
    <row r="324" spans="1:13" ht="12">
      <c r="A324" s="19" t="s">
        <v>664</v>
      </c>
      <c r="C324" s="7" t="s">
        <v>666</v>
      </c>
      <c r="F324" s="92"/>
      <c r="G324" s="92"/>
      <c r="H324" s="92"/>
      <c r="I324" s="85"/>
      <c r="J324" s="86"/>
      <c r="L324" s="17"/>
      <c r="M324" s="20" t="str">
        <f>$M$3</f>
        <v>Date: 10/1/2008</v>
      </c>
    </row>
    <row r="325" spans="1:13" ht="12">
      <c r="A325" s="21" t="s">
        <v>1</v>
      </c>
      <c r="B325" s="21" t="s">
        <v>1</v>
      </c>
      <c r="C325" s="21" t="s">
        <v>1</v>
      </c>
      <c r="D325" s="21" t="s">
        <v>1</v>
      </c>
      <c r="E325" s="21" t="s">
        <v>1</v>
      </c>
      <c r="F325" s="21" t="s">
        <v>1</v>
      </c>
      <c r="G325" s="21"/>
      <c r="H325" s="21"/>
      <c r="I325" s="22" t="s">
        <v>1</v>
      </c>
      <c r="J325" s="23" t="s">
        <v>1</v>
      </c>
      <c r="K325" s="21" t="s">
        <v>1</v>
      </c>
      <c r="L325" s="22" t="s">
        <v>1</v>
      </c>
      <c r="M325" s="23" t="s">
        <v>1</v>
      </c>
    </row>
    <row r="326" spans="1:13" ht="12">
      <c r="A326" s="24" t="s">
        <v>2</v>
      </c>
      <c r="E326" s="24" t="s">
        <v>2</v>
      </c>
      <c r="H326" s="25" t="s">
        <v>249</v>
      </c>
      <c r="I326" s="26"/>
      <c r="J326" s="27" t="s">
        <v>251</v>
      </c>
      <c r="K326" s="25"/>
      <c r="L326" s="26"/>
      <c r="M326" s="27" t="s">
        <v>260</v>
      </c>
    </row>
    <row r="327" spans="1:13" ht="12">
      <c r="A327" s="24" t="s">
        <v>4</v>
      </c>
      <c r="C327" s="28" t="s">
        <v>20</v>
      </c>
      <c r="E327" s="24" t="s">
        <v>4</v>
      </c>
      <c r="H327" s="27" t="s">
        <v>7</v>
      </c>
      <c r="I327" s="17"/>
      <c r="J327" s="27" t="s">
        <v>7</v>
      </c>
      <c r="L327" s="17"/>
      <c r="M327" s="27" t="s">
        <v>8</v>
      </c>
    </row>
    <row r="328" spans="1:13" ht="12">
      <c r="A328" s="21" t="s">
        <v>1</v>
      </c>
      <c r="B328" s="21" t="s">
        <v>1</v>
      </c>
      <c r="C328" s="21" t="s">
        <v>1</v>
      </c>
      <c r="D328" s="21" t="s">
        <v>1</v>
      </c>
      <c r="E328" s="21" t="s">
        <v>1</v>
      </c>
      <c r="F328" s="21" t="s">
        <v>1</v>
      </c>
      <c r="G328" s="21"/>
      <c r="H328" s="21"/>
      <c r="I328" s="22" t="s">
        <v>1</v>
      </c>
      <c r="J328" s="23" t="s">
        <v>1</v>
      </c>
      <c r="K328" s="21" t="s">
        <v>1</v>
      </c>
      <c r="L328" s="22" t="s">
        <v>1</v>
      </c>
      <c r="M328" s="23" t="s">
        <v>1</v>
      </c>
    </row>
    <row r="329" spans="1:13" ht="12">
      <c r="A329" s="93">
        <v>1</v>
      </c>
      <c r="C329" s="12" t="s">
        <v>280</v>
      </c>
      <c r="E329" s="93">
        <v>1</v>
      </c>
      <c r="H329" s="2">
        <f>3234017-597233</f>
        <v>2636784</v>
      </c>
      <c r="I329" s="7"/>
      <c r="J329" s="2">
        <v>3246507</v>
      </c>
      <c r="K329" s="2"/>
      <c r="L329" s="2"/>
      <c r="M329" s="2">
        <f>5014519-660000</f>
        <v>4354519</v>
      </c>
    </row>
    <row r="330" spans="1:13" ht="12">
      <c r="A330" s="93">
        <v>2</v>
      </c>
      <c r="C330" s="13"/>
      <c r="E330" s="93">
        <v>2</v>
      </c>
      <c r="H330" s="2"/>
      <c r="I330" s="7"/>
      <c r="J330" s="2"/>
      <c r="K330" s="2"/>
      <c r="L330" s="2"/>
      <c r="M330" s="2"/>
    </row>
    <row r="331" spans="6:13" ht="12">
      <c r="F331" s="90" t="s">
        <v>1</v>
      </c>
      <c r="G331" s="90"/>
      <c r="H331" s="90"/>
      <c r="I331" s="22" t="s">
        <v>1</v>
      </c>
      <c r="J331" s="23"/>
      <c r="K331" s="90"/>
      <c r="L331" s="22"/>
      <c r="M331" s="23"/>
    </row>
    <row r="332" spans="1:13" ht="12">
      <c r="A332" s="93"/>
      <c r="E332" s="93"/>
      <c r="F332" s="90" t="s">
        <v>1</v>
      </c>
      <c r="G332" s="90"/>
      <c r="H332" s="90"/>
      <c r="I332" s="22" t="s">
        <v>1</v>
      </c>
      <c r="J332" s="23"/>
      <c r="K332" s="90"/>
      <c r="L332" s="22"/>
      <c r="M332" s="23"/>
    </row>
    <row r="333" spans="1:13" ht="12">
      <c r="A333" s="93"/>
      <c r="C333" s="94"/>
      <c r="D333" s="95"/>
      <c r="E333" s="93"/>
      <c r="H333" s="65"/>
      <c r="I333" s="62"/>
      <c r="J333" s="62"/>
      <c r="K333" s="65"/>
      <c r="L333" s="62"/>
      <c r="M333" s="62"/>
    </row>
    <row r="334" spans="1:13" ht="12">
      <c r="A334" s="93">
        <v>16</v>
      </c>
      <c r="C334" s="7" t="s">
        <v>270</v>
      </c>
      <c r="E334" s="93">
        <v>16</v>
      </c>
      <c r="H334" s="65">
        <v>-1021166</v>
      </c>
      <c r="I334" s="62"/>
      <c r="J334" s="62">
        <v>-95124</v>
      </c>
      <c r="K334" s="65"/>
      <c r="L334" s="62"/>
      <c r="M334" s="62"/>
    </row>
    <row r="335" spans="1:13" ht="12">
      <c r="A335" s="93">
        <v>17</v>
      </c>
      <c r="C335" s="12" t="s">
        <v>0</v>
      </c>
      <c r="E335" s="93">
        <v>17</v>
      </c>
      <c r="F335" s="13"/>
      <c r="G335" s="13"/>
      <c r="H335" s="2"/>
      <c r="I335" s="2"/>
      <c r="J335" s="2"/>
      <c r="K335" s="2"/>
      <c r="L335" s="2"/>
      <c r="M335" s="2"/>
    </row>
    <row r="336" spans="1:13" ht="12">
      <c r="A336" s="93">
        <v>18</v>
      </c>
      <c r="E336" s="93">
        <v>18</v>
      </c>
      <c r="H336" s="65"/>
      <c r="I336" s="65"/>
      <c r="J336" s="65"/>
      <c r="K336" s="65"/>
      <c r="L336" s="65"/>
      <c r="M336" s="65"/>
    </row>
    <row r="337" spans="1:13" ht="12">
      <c r="A337" s="93">
        <v>19</v>
      </c>
      <c r="E337" s="93">
        <v>19</v>
      </c>
      <c r="H337" s="65"/>
      <c r="I337" s="65"/>
      <c r="J337" s="65"/>
      <c r="K337" s="65"/>
      <c r="L337" s="65"/>
      <c r="M337" s="65"/>
    </row>
    <row r="338" spans="1:13" ht="12">
      <c r="A338" s="93"/>
      <c r="C338" s="94"/>
      <c r="E338" s="93"/>
      <c r="F338" s="90" t="s">
        <v>1</v>
      </c>
      <c r="G338" s="90"/>
      <c r="H338" s="90"/>
      <c r="I338" s="22" t="s">
        <v>1</v>
      </c>
      <c r="J338" s="23" t="s">
        <v>1</v>
      </c>
      <c r="K338" s="90" t="s">
        <v>1</v>
      </c>
      <c r="L338" s="22" t="s">
        <v>1</v>
      </c>
      <c r="M338" s="23" t="s">
        <v>1</v>
      </c>
    </row>
    <row r="339" spans="1:13" ht="13.5" customHeight="1">
      <c r="A339" s="93">
        <v>20</v>
      </c>
      <c r="C339" s="94" t="s">
        <v>83</v>
      </c>
      <c r="E339" s="93">
        <v>20</v>
      </c>
      <c r="H339" s="65">
        <f>H329+H334+H330</f>
        <v>1615618</v>
      </c>
      <c r="I339" s="62"/>
      <c r="J339" s="65">
        <f>J329+J334+J330</f>
        <v>3151383</v>
      </c>
      <c r="K339" s="65"/>
      <c r="L339" s="62"/>
      <c r="M339" s="65">
        <f>M329+M334+M330</f>
        <v>4354519</v>
      </c>
    </row>
    <row r="340" spans="1:13" ht="12">
      <c r="A340" s="96"/>
      <c r="C340" s="12"/>
      <c r="E340" s="50"/>
      <c r="F340" s="90" t="s">
        <v>1</v>
      </c>
      <c r="G340" s="90"/>
      <c r="H340" s="90"/>
      <c r="I340" s="22" t="s">
        <v>1</v>
      </c>
      <c r="J340" s="23" t="s">
        <v>1</v>
      </c>
      <c r="K340" s="90" t="s">
        <v>1</v>
      </c>
      <c r="L340" s="22" t="s">
        <v>1</v>
      </c>
      <c r="M340" s="23" t="s">
        <v>1</v>
      </c>
    </row>
    <row r="341" spans="6:13" ht="12">
      <c r="F341" s="90"/>
      <c r="G341" s="90"/>
      <c r="H341" s="90"/>
      <c r="I341" s="22"/>
      <c r="J341" s="55"/>
      <c r="K341" s="90"/>
      <c r="L341" s="22"/>
      <c r="M341" s="55"/>
    </row>
    <row r="342" ht="12">
      <c r="A342" s="12"/>
    </row>
    <row r="343" spans="1:13" s="46" customFormat="1" ht="12">
      <c r="A343" s="19" t="str">
        <f>$A$36</f>
        <v>Institution No.:  GFE</v>
      </c>
      <c r="E343" s="51"/>
      <c r="I343" s="52"/>
      <c r="J343" s="53"/>
      <c r="L343" s="52"/>
      <c r="M343" s="18" t="s">
        <v>78</v>
      </c>
    </row>
    <row r="344" spans="4:13" s="46" customFormat="1" ht="12">
      <c r="D344" s="60" t="s">
        <v>282</v>
      </c>
      <c r="E344" s="51"/>
      <c r="I344" s="52"/>
      <c r="J344" s="53"/>
      <c r="L344" s="52"/>
      <c r="M344" s="53"/>
    </row>
    <row r="345" spans="1:13" ht="12">
      <c r="A345" s="19" t="s">
        <v>664</v>
      </c>
      <c r="C345" s="7" t="s">
        <v>666</v>
      </c>
      <c r="F345" s="92"/>
      <c r="G345" s="92"/>
      <c r="H345" s="92"/>
      <c r="I345" s="85"/>
      <c r="J345" s="55"/>
      <c r="L345" s="17"/>
      <c r="M345" s="20" t="str">
        <f>$M$3</f>
        <v>Date: 10/1/2008</v>
      </c>
    </row>
    <row r="346" spans="1:13" ht="12">
      <c r="A346" s="21" t="s">
        <v>1</v>
      </c>
      <c r="B346" s="21" t="s">
        <v>1</v>
      </c>
      <c r="C346" s="21" t="s">
        <v>1</v>
      </c>
      <c r="D346" s="21" t="s">
        <v>1</v>
      </c>
      <c r="E346" s="21" t="s">
        <v>1</v>
      </c>
      <c r="F346" s="21" t="s">
        <v>1</v>
      </c>
      <c r="G346" s="21"/>
      <c r="H346" s="21"/>
      <c r="I346" s="22" t="s">
        <v>1</v>
      </c>
      <c r="J346" s="23" t="s">
        <v>1</v>
      </c>
      <c r="K346" s="21" t="s">
        <v>1</v>
      </c>
      <c r="L346" s="22" t="s">
        <v>1</v>
      </c>
      <c r="M346" s="23" t="s">
        <v>1</v>
      </c>
    </row>
    <row r="347" spans="1:13" ht="12">
      <c r="A347" s="24" t="s">
        <v>2</v>
      </c>
      <c r="E347" s="24" t="s">
        <v>2</v>
      </c>
      <c r="H347" s="25" t="s">
        <v>249</v>
      </c>
      <c r="I347" s="26"/>
      <c r="J347" s="27" t="s">
        <v>251</v>
      </c>
      <c r="K347" s="25"/>
      <c r="L347" s="26"/>
      <c r="M347" s="27" t="s">
        <v>260</v>
      </c>
    </row>
    <row r="348" spans="1:13" ht="12">
      <c r="A348" s="24" t="s">
        <v>4</v>
      </c>
      <c r="C348" s="28" t="s">
        <v>20</v>
      </c>
      <c r="E348" s="24" t="s">
        <v>4</v>
      </c>
      <c r="H348" s="27" t="s">
        <v>7</v>
      </c>
      <c r="I348" s="17"/>
      <c r="J348" s="27" t="s">
        <v>7</v>
      </c>
      <c r="L348" s="17"/>
      <c r="M348" s="27" t="s">
        <v>8</v>
      </c>
    </row>
    <row r="349" spans="1:13" ht="12">
      <c r="A349" s="21" t="s">
        <v>1</v>
      </c>
      <c r="B349" s="21" t="s">
        <v>1</v>
      </c>
      <c r="C349" s="21" t="s">
        <v>1</v>
      </c>
      <c r="D349" s="21" t="s">
        <v>1</v>
      </c>
      <c r="E349" s="21" t="s">
        <v>1</v>
      </c>
      <c r="F349" s="21" t="s">
        <v>1</v>
      </c>
      <c r="G349" s="21"/>
      <c r="H349" s="21"/>
      <c r="I349" s="22" t="s">
        <v>1</v>
      </c>
      <c r="J349" s="23" t="s">
        <v>1</v>
      </c>
      <c r="K349" s="21" t="s">
        <v>1</v>
      </c>
      <c r="L349" s="22" t="s">
        <v>1</v>
      </c>
      <c r="M349" s="23" t="s">
        <v>1</v>
      </c>
    </row>
    <row r="350" spans="1:13" ht="12">
      <c r="A350" s="93">
        <v>1</v>
      </c>
      <c r="C350" s="12" t="s">
        <v>84</v>
      </c>
      <c r="E350" s="93">
        <v>1</v>
      </c>
      <c r="H350" s="65"/>
      <c r="I350" s="62"/>
      <c r="J350" s="62"/>
      <c r="K350" s="65"/>
      <c r="L350" s="62"/>
      <c r="M350" s="62"/>
    </row>
    <row r="351" spans="1:13" ht="12">
      <c r="A351" s="93"/>
      <c r="C351" s="12"/>
      <c r="E351" s="93"/>
      <c r="H351" s="65"/>
      <c r="I351" s="62"/>
      <c r="J351" s="62"/>
      <c r="K351" s="65"/>
      <c r="L351" s="62"/>
      <c r="M351" s="62"/>
    </row>
    <row r="352" spans="1:13" ht="12">
      <c r="A352" s="93">
        <f>(A350+1)</f>
        <v>2</v>
      </c>
      <c r="C352" s="13" t="s">
        <v>79</v>
      </c>
      <c r="E352" s="93">
        <f>(E350+1)</f>
        <v>2</v>
      </c>
      <c r="F352" s="13"/>
      <c r="G352" s="13"/>
      <c r="H352" s="2">
        <v>45749007</v>
      </c>
      <c r="I352" s="2"/>
      <c r="J352" s="2">
        <v>45371234</v>
      </c>
      <c r="K352" s="2"/>
      <c r="L352" s="2"/>
      <c r="M352" s="2">
        <v>43018487</v>
      </c>
    </row>
    <row r="353" spans="1:13" ht="12">
      <c r="A353" s="97" t="s">
        <v>322</v>
      </c>
      <c r="C353" s="13" t="s">
        <v>627</v>
      </c>
      <c r="E353" s="93"/>
      <c r="F353" s="13"/>
      <c r="G353" s="13"/>
      <c r="H353" s="2">
        <v>1076319</v>
      </c>
      <c r="I353" s="7"/>
      <c r="J353" s="2">
        <v>1521858</v>
      </c>
      <c r="K353" s="2"/>
      <c r="L353" s="2"/>
      <c r="M353" s="2">
        <v>1430000</v>
      </c>
    </row>
    <row r="354" spans="1:13" ht="12">
      <c r="A354" s="93">
        <f>(A352+1)</f>
        <v>3</v>
      </c>
      <c r="C354" s="13" t="s">
        <v>80</v>
      </c>
      <c r="E354" s="93">
        <f>(E352+1)</f>
        <v>3</v>
      </c>
      <c r="F354" s="13"/>
      <c r="G354" s="13"/>
      <c r="H354" s="2">
        <v>0</v>
      </c>
      <c r="I354" s="2"/>
      <c r="J354" s="2">
        <v>0</v>
      </c>
      <c r="K354" s="2"/>
      <c r="L354" s="2"/>
      <c r="M354" s="2">
        <v>0</v>
      </c>
    </row>
    <row r="355" spans="1:13" ht="12">
      <c r="A355" s="93">
        <f>(A354+1)</f>
        <v>4</v>
      </c>
      <c r="C355" s="13" t="s">
        <v>231</v>
      </c>
      <c r="E355" s="93">
        <f>(E354+1)</f>
        <v>4</v>
      </c>
      <c r="F355" s="13"/>
      <c r="G355" s="13"/>
      <c r="H355" s="2"/>
      <c r="I355" s="2"/>
      <c r="J355" s="2"/>
      <c r="K355" s="2"/>
      <c r="L355" s="2"/>
      <c r="M355" s="2"/>
    </row>
    <row r="356" spans="1:13" ht="12">
      <c r="A356" s="93">
        <f>(A355+1)</f>
        <v>5</v>
      </c>
      <c r="C356" s="13" t="s">
        <v>271</v>
      </c>
      <c r="E356" s="93">
        <f>(E355+1)</f>
        <v>5</v>
      </c>
      <c r="F356" s="13"/>
      <c r="G356" s="13"/>
      <c r="H356" s="2"/>
      <c r="I356" s="2"/>
      <c r="J356" s="2"/>
      <c r="K356" s="2"/>
      <c r="L356" s="2"/>
      <c r="M356" s="2"/>
    </row>
    <row r="357" spans="1:13" ht="12">
      <c r="A357" s="93">
        <f>(A356+1)</f>
        <v>6</v>
      </c>
      <c r="C357" s="13" t="s">
        <v>272</v>
      </c>
      <c r="E357" s="93">
        <f>(E356+1)</f>
        <v>6</v>
      </c>
      <c r="F357" s="13"/>
      <c r="G357" s="13"/>
      <c r="H357" s="2"/>
      <c r="I357" s="7"/>
      <c r="J357" s="2"/>
      <c r="K357" s="2"/>
      <c r="L357" s="2"/>
      <c r="M357" s="2"/>
    </row>
    <row r="358" spans="1:13" ht="12">
      <c r="A358" s="93">
        <v>7</v>
      </c>
      <c r="C358" s="13" t="s">
        <v>273</v>
      </c>
      <c r="E358" s="93">
        <f>(E357+1)</f>
        <v>7</v>
      </c>
      <c r="F358" s="13"/>
      <c r="G358" s="13"/>
      <c r="H358" s="2">
        <v>597233</v>
      </c>
      <c r="I358" s="2"/>
      <c r="J358" s="2">
        <v>778703</v>
      </c>
      <c r="K358" s="2"/>
      <c r="L358" s="2"/>
      <c r="M358" s="2">
        <v>660000</v>
      </c>
    </row>
    <row r="359" spans="1:13" ht="12">
      <c r="A359" s="93">
        <v>8</v>
      </c>
      <c r="C359" s="13" t="s">
        <v>274</v>
      </c>
      <c r="E359" s="93">
        <f>(E358+1)</f>
        <v>8</v>
      </c>
      <c r="F359" s="13"/>
      <c r="G359" s="13"/>
      <c r="H359" s="2"/>
      <c r="I359" s="2"/>
      <c r="J359" s="2"/>
      <c r="K359" s="2"/>
      <c r="L359" s="2"/>
      <c r="M359" s="2"/>
    </row>
    <row r="360" spans="1:13" ht="12">
      <c r="A360" s="93"/>
      <c r="C360" s="13" t="s">
        <v>230</v>
      </c>
      <c r="E360" s="93"/>
      <c r="F360" s="13"/>
      <c r="G360" s="13"/>
      <c r="H360" s="2"/>
      <c r="I360" s="2"/>
      <c r="J360" s="2"/>
      <c r="K360" s="2"/>
      <c r="L360" s="2"/>
      <c r="M360" s="2"/>
    </row>
    <row r="361" spans="1:13" ht="12">
      <c r="A361" s="93">
        <v>9</v>
      </c>
      <c r="C361" s="13"/>
      <c r="E361" s="93"/>
      <c r="F361" s="90" t="s">
        <v>1</v>
      </c>
      <c r="G361" s="90"/>
      <c r="H361" s="23"/>
      <c r="I361" s="22" t="s">
        <v>1</v>
      </c>
      <c r="J361" s="23"/>
      <c r="K361" s="90"/>
      <c r="L361" s="22"/>
      <c r="M361" s="23"/>
    </row>
    <row r="362" spans="1:13" ht="12">
      <c r="A362" s="93"/>
      <c r="C362" s="13"/>
      <c r="E362" s="93"/>
      <c r="F362" s="90"/>
      <c r="G362" s="90"/>
      <c r="H362" s="23"/>
      <c r="I362" s="22"/>
      <c r="J362" s="23"/>
      <c r="K362" s="90"/>
      <c r="L362" s="22"/>
      <c r="M362" s="23"/>
    </row>
    <row r="363" spans="1:13" ht="12">
      <c r="A363" s="93">
        <v>10</v>
      </c>
      <c r="C363" s="7" t="s">
        <v>77</v>
      </c>
      <c r="E363" s="93">
        <v>9</v>
      </c>
      <c r="F363" s="13"/>
      <c r="G363" s="13"/>
      <c r="H363" s="2">
        <f>SUM(H352:H361)</f>
        <v>47422559</v>
      </c>
      <c r="I363" s="2"/>
      <c r="J363" s="2">
        <f>SUM(J352:J361)</f>
        <v>47671795</v>
      </c>
      <c r="K363" s="2"/>
      <c r="L363" s="2"/>
      <c r="M363" s="2">
        <f>SUM(M352:M361)</f>
        <v>45108487</v>
      </c>
    </row>
    <row r="364" spans="1:13" ht="12">
      <c r="A364" s="93"/>
      <c r="C364" s="13"/>
      <c r="E364" s="93"/>
      <c r="F364" s="13"/>
      <c r="G364" s="13"/>
      <c r="H364" s="2"/>
      <c r="I364" s="2"/>
      <c r="J364" s="2"/>
      <c r="K364" s="2"/>
      <c r="L364" s="2"/>
      <c r="M364" s="2"/>
    </row>
    <row r="365" spans="1:13" ht="12">
      <c r="A365" s="93">
        <v>11</v>
      </c>
      <c r="C365" s="13" t="s">
        <v>215</v>
      </c>
      <c r="E365" s="93">
        <v>10</v>
      </c>
      <c r="F365" s="13"/>
      <c r="G365" s="13"/>
      <c r="H365" s="2">
        <v>4469931</v>
      </c>
      <c r="I365" s="2"/>
      <c r="J365" s="2">
        <f>1905533</f>
        <v>1905533</v>
      </c>
      <c r="K365" s="2"/>
      <c r="L365" s="2"/>
      <c r="M365" s="2">
        <v>536734</v>
      </c>
    </row>
    <row r="366" spans="1:13" ht="12">
      <c r="A366" s="93">
        <v>12</v>
      </c>
      <c r="C366" s="13" t="s">
        <v>81</v>
      </c>
      <c r="E366" s="93">
        <v>11</v>
      </c>
      <c r="F366" s="13"/>
      <c r="G366" s="13"/>
      <c r="H366" s="2"/>
      <c r="I366" s="2"/>
      <c r="J366" s="2"/>
      <c r="K366" s="2"/>
      <c r="L366" s="2"/>
      <c r="M366" s="2">
        <v>0</v>
      </c>
    </row>
    <row r="367" spans="1:13" ht="12">
      <c r="A367" s="93">
        <v>13</v>
      </c>
      <c r="C367" s="13" t="s">
        <v>275</v>
      </c>
      <c r="E367" s="93">
        <v>12</v>
      </c>
      <c r="F367" s="13"/>
      <c r="G367" s="13"/>
      <c r="H367" s="2">
        <v>3936218</v>
      </c>
      <c r="I367" s="2"/>
      <c r="J367" s="2">
        <f>2225156+969135+2354825-9-225901+195570-1365001-989824</f>
        <v>3163951</v>
      </c>
      <c r="K367" s="2"/>
      <c r="L367" s="2"/>
      <c r="M367" s="2">
        <f>11000+1860847+271770+1282071+939025-1282071-496981</f>
        <v>2585661</v>
      </c>
    </row>
    <row r="368" spans="1:13" ht="12">
      <c r="A368" s="93"/>
      <c r="C368" s="13"/>
      <c r="E368" s="93">
        <v>13</v>
      </c>
      <c r="F368" s="13"/>
      <c r="G368" s="13"/>
      <c r="H368" s="2"/>
      <c r="I368" s="2"/>
      <c r="J368" s="2"/>
      <c r="K368" s="2"/>
      <c r="L368" s="2"/>
      <c r="M368" s="2"/>
    </row>
    <row r="369" spans="3:13" ht="12">
      <c r="C369" s="13"/>
      <c r="F369" s="90" t="s">
        <v>1</v>
      </c>
      <c r="G369" s="90"/>
      <c r="H369" s="23"/>
      <c r="I369" s="22" t="s">
        <v>1</v>
      </c>
      <c r="J369" s="23"/>
      <c r="K369" s="90"/>
      <c r="L369" s="22"/>
      <c r="M369" s="23"/>
    </row>
    <row r="370" spans="1:13" ht="12">
      <c r="A370" s="93">
        <v>14</v>
      </c>
      <c r="C370" s="7" t="s">
        <v>105</v>
      </c>
      <c r="E370" s="93">
        <v>14</v>
      </c>
      <c r="H370" s="65">
        <f>SUM(H365:H369)</f>
        <v>8406149</v>
      </c>
      <c r="I370" s="62"/>
      <c r="J370" s="65">
        <f>SUM(J365:J369)</f>
        <v>5069484</v>
      </c>
      <c r="K370" s="65"/>
      <c r="L370" s="62"/>
      <c r="M370" s="65">
        <f>SUM(M365:M369)</f>
        <v>3122395</v>
      </c>
    </row>
    <row r="371" spans="1:13" ht="12">
      <c r="A371" s="93"/>
      <c r="C371" s="13"/>
      <c r="E371" s="93"/>
      <c r="F371" s="90" t="s">
        <v>1</v>
      </c>
      <c r="G371" s="90"/>
      <c r="H371" s="23"/>
      <c r="I371" s="22" t="s">
        <v>1</v>
      </c>
      <c r="J371" s="23"/>
      <c r="K371" s="90"/>
      <c r="L371" s="22"/>
      <c r="M371" s="23"/>
    </row>
    <row r="372" spans="1:13" ht="12">
      <c r="A372" s="93">
        <v>15</v>
      </c>
      <c r="C372" s="12" t="s">
        <v>85</v>
      </c>
      <c r="E372" s="93">
        <v>15</v>
      </c>
      <c r="H372" s="65">
        <f>SUM(H363,H370)</f>
        <v>55828708</v>
      </c>
      <c r="I372" s="62"/>
      <c r="J372" s="65">
        <f>SUM(J363,J370)</f>
        <v>52741279</v>
      </c>
      <c r="K372" s="65"/>
      <c r="L372" s="62"/>
      <c r="M372" s="65">
        <f>SUM(M363,M370)</f>
        <v>48230882</v>
      </c>
    </row>
    <row r="373" spans="1:13" ht="12">
      <c r="A373" s="93"/>
      <c r="C373" s="12"/>
      <c r="E373" s="93"/>
      <c r="H373" s="65"/>
      <c r="I373" s="62"/>
      <c r="J373" s="65"/>
      <c r="K373" s="65"/>
      <c r="L373" s="62"/>
      <c r="M373" s="65"/>
    </row>
    <row r="374" spans="1:13" ht="12">
      <c r="A374" s="93">
        <v>16</v>
      </c>
      <c r="C374" s="12" t="s">
        <v>189</v>
      </c>
      <c r="E374" s="93">
        <v>16</v>
      </c>
      <c r="H374" s="65"/>
      <c r="I374" s="62"/>
      <c r="J374" s="62"/>
      <c r="K374" s="65"/>
      <c r="L374" s="62"/>
      <c r="M374" s="62">
        <f>-J334</f>
        <v>95124</v>
      </c>
    </row>
    <row r="375" spans="1:13" ht="12">
      <c r="A375" s="93">
        <v>17</v>
      </c>
      <c r="C375" s="7" t="s">
        <v>190</v>
      </c>
      <c r="E375" s="93">
        <v>17</v>
      </c>
      <c r="H375" s="65">
        <v>729359</v>
      </c>
      <c r="I375" s="62"/>
      <c r="J375" s="62">
        <v>1021166</v>
      </c>
      <c r="K375" s="65"/>
      <c r="L375" s="62"/>
      <c r="M375" s="62">
        <v>0</v>
      </c>
    </row>
    <row r="376" spans="1:13" ht="12">
      <c r="A376" s="93">
        <v>18</v>
      </c>
      <c r="E376" s="93">
        <v>18</v>
      </c>
      <c r="H376" s="65"/>
      <c r="I376" s="65"/>
      <c r="J376" s="65"/>
      <c r="K376" s="65"/>
      <c r="L376" s="65"/>
      <c r="M376" s="65"/>
    </row>
    <row r="377" spans="1:13" ht="12">
      <c r="A377" s="93">
        <v>19</v>
      </c>
      <c r="E377" s="93">
        <v>19</v>
      </c>
      <c r="H377" s="65"/>
      <c r="I377" s="65"/>
      <c r="J377" s="65"/>
      <c r="K377" s="65"/>
      <c r="L377" s="65"/>
      <c r="M377" s="65"/>
    </row>
    <row r="378" spans="1:13" ht="12">
      <c r="A378" s="93"/>
      <c r="C378" s="94"/>
      <c r="E378" s="93"/>
      <c r="F378" s="90" t="s">
        <v>1</v>
      </c>
      <c r="G378" s="90"/>
      <c r="H378" s="90"/>
      <c r="I378" s="22" t="s">
        <v>1</v>
      </c>
      <c r="J378" s="23"/>
      <c r="K378" s="90"/>
      <c r="L378" s="22"/>
      <c r="M378" s="23"/>
    </row>
    <row r="379" spans="1:13" ht="13.5" customHeight="1">
      <c r="A379" s="93">
        <v>20</v>
      </c>
      <c r="C379" s="94" t="s">
        <v>86</v>
      </c>
      <c r="E379" s="93">
        <v>20</v>
      </c>
      <c r="H379" s="65">
        <f>SUM(H372:H377)</f>
        <v>56558067</v>
      </c>
      <c r="I379" s="62"/>
      <c r="J379" s="65">
        <f>SUM(J372:J377)</f>
        <v>53762445</v>
      </c>
      <c r="K379" s="65"/>
      <c r="L379" s="62"/>
      <c r="M379" s="65">
        <f>SUM(M372:M377)</f>
        <v>48326006</v>
      </c>
    </row>
    <row r="380" spans="1:13" ht="12">
      <c r="A380" s="96"/>
      <c r="C380" s="12"/>
      <c r="E380" s="50"/>
      <c r="F380" s="90" t="s">
        <v>1</v>
      </c>
      <c r="G380" s="90"/>
      <c r="H380" s="90"/>
      <c r="I380" s="22" t="s">
        <v>1</v>
      </c>
      <c r="J380" s="23" t="s">
        <v>1</v>
      </c>
      <c r="K380" s="90" t="s">
        <v>1</v>
      </c>
      <c r="L380" s="22" t="s">
        <v>1</v>
      </c>
      <c r="M380" s="23" t="s">
        <v>1</v>
      </c>
    </row>
    <row r="382" spans="1:13" s="46" customFormat="1" ht="12">
      <c r="A382" s="19" t="str">
        <f>$A$36</f>
        <v>Institution No.:  GFE</v>
      </c>
      <c r="E382" s="51"/>
      <c r="I382" s="52"/>
      <c r="J382" s="53"/>
      <c r="L382" s="52"/>
      <c r="M382" s="18" t="s">
        <v>82</v>
      </c>
    </row>
    <row r="383" spans="1:13" ht="12.75" customHeight="1">
      <c r="A383" s="262" t="s">
        <v>216</v>
      </c>
      <c r="B383" s="262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</row>
    <row r="384" spans="1:13" ht="12">
      <c r="A384" s="19" t="s">
        <v>664</v>
      </c>
      <c r="C384" s="7" t="s">
        <v>666</v>
      </c>
      <c r="J384" s="55"/>
      <c r="L384" s="17"/>
      <c r="M384" s="20" t="str">
        <f>$M$3</f>
        <v>Date: 10/1/2008</v>
      </c>
    </row>
    <row r="385" spans="1:13" ht="12">
      <c r="A385" s="21" t="s">
        <v>1</v>
      </c>
      <c r="B385" s="21" t="s">
        <v>1</v>
      </c>
      <c r="C385" s="21" t="s">
        <v>1</v>
      </c>
      <c r="D385" s="21" t="s">
        <v>1</v>
      </c>
      <c r="E385" s="21" t="s">
        <v>1</v>
      </c>
      <c r="F385" s="21" t="s">
        <v>1</v>
      </c>
      <c r="G385" s="21"/>
      <c r="H385" s="21"/>
      <c r="I385" s="22" t="s">
        <v>1</v>
      </c>
      <c r="J385" s="23" t="s">
        <v>1</v>
      </c>
      <c r="K385" s="21" t="s">
        <v>1</v>
      </c>
      <c r="L385" s="22" t="s">
        <v>1</v>
      </c>
      <c r="M385" s="23" t="s">
        <v>1</v>
      </c>
    </row>
    <row r="386" spans="1:13" ht="12">
      <c r="A386" s="24" t="s">
        <v>2</v>
      </c>
      <c r="E386" s="24" t="s">
        <v>2</v>
      </c>
      <c r="F386" s="25"/>
      <c r="G386" s="25"/>
      <c r="H386" s="25" t="s">
        <v>249</v>
      </c>
      <c r="I386" s="26"/>
      <c r="J386" s="27" t="s">
        <v>251</v>
      </c>
      <c r="K386" s="25"/>
      <c r="L386" s="26"/>
      <c r="M386" s="27" t="s">
        <v>260</v>
      </c>
    </row>
    <row r="387" spans="1:13" ht="12">
      <c r="A387" s="24" t="s">
        <v>4</v>
      </c>
      <c r="C387" s="28" t="s">
        <v>20</v>
      </c>
      <c r="E387" s="24" t="s">
        <v>4</v>
      </c>
      <c r="F387" s="25"/>
      <c r="G387" s="25"/>
      <c r="H387" s="27" t="s">
        <v>7</v>
      </c>
      <c r="I387" s="26"/>
      <c r="J387" s="27" t="s">
        <v>7</v>
      </c>
      <c r="K387" s="25"/>
      <c r="L387" s="26"/>
      <c r="M387" s="27" t="s">
        <v>8</v>
      </c>
    </row>
    <row r="388" spans="1:13" ht="12">
      <c r="A388" s="21" t="s">
        <v>1</v>
      </c>
      <c r="B388" s="21" t="s">
        <v>1</v>
      </c>
      <c r="C388" s="21" t="s">
        <v>1</v>
      </c>
      <c r="D388" s="21" t="s">
        <v>1</v>
      </c>
      <c r="E388" s="21" t="s">
        <v>1</v>
      </c>
      <c r="F388" s="21" t="s">
        <v>1</v>
      </c>
      <c r="G388" s="21"/>
      <c r="H388" s="21"/>
      <c r="I388" s="22" t="s">
        <v>1</v>
      </c>
      <c r="J388" s="23" t="s">
        <v>1</v>
      </c>
      <c r="K388" s="21" t="s">
        <v>1</v>
      </c>
      <c r="L388" s="22" t="s">
        <v>1</v>
      </c>
      <c r="M388" s="23" t="s">
        <v>1</v>
      </c>
    </row>
    <row r="389" spans="1:13" ht="12">
      <c r="A389" s="97">
        <v>1</v>
      </c>
      <c r="C389" s="7" t="s">
        <v>628</v>
      </c>
      <c r="E389" s="97">
        <f>(E392+1)</f>
        <v>1</v>
      </c>
      <c r="J389" s="9">
        <v>8511345</v>
      </c>
      <c r="M389" s="9">
        <v>18943716</v>
      </c>
    </row>
    <row r="390" spans="1:13" ht="12">
      <c r="A390" s="97">
        <f aca="true" t="shared" si="9" ref="A390:A412">(A389+1)</f>
        <v>2</v>
      </c>
      <c r="E390" s="97"/>
      <c r="F390" s="13"/>
      <c r="G390" s="13"/>
      <c r="H390" s="98"/>
      <c r="I390" s="98"/>
      <c r="J390" s="98"/>
      <c r="K390" s="98"/>
      <c r="L390" s="98"/>
      <c r="M390" s="98"/>
    </row>
    <row r="391" spans="1:13" ht="12">
      <c r="A391" s="97">
        <f t="shared" si="9"/>
        <v>3</v>
      </c>
      <c r="E391" s="97"/>
      <c r="F391" s="13"/>
      <c r="G391" s="13"/>
      <c r="H391" s="98"/>
      <c r="I391" s="98"/>
      <c r="J391" s="98"/>
      <c r="K391" s="98"/>
      <c r="L391" s="98"/>
      <c r="M391" s="98"/>
    </row>
    <row r="392" spans="1:14" ht="12">
      <c r="A392" s="97">
        <f t="shared" si="9"/>
        <v>4</v>
      </c>
      <c r="E392" s="97"/>
      <c r="F392" s="13"/>
      <c r="G392" s="13"/>
      <c r="H392" s="98"/>
      <c r="I392" s="98"/>
      <c r="J392" s="98"/>
      <c r="K392" s="98"/>
      <c r="L392" s="98"/>
      <c r="M392" s="98"/>
      <c r="N392" s="197"/>
    </row>
    <row r="393" spans="1:14" ht="12">
      <c r="A393" s="97">
        <f>(A392+1)</f>
        <v>5</v>
      </c>
      <c r="N393" s="197"/>
    </row>
    <row r="394" spans="1:13" ht="12">
      <c r="A394" s="97">
        <f t="shared" si="9"/>
        <v>6</v>
      </c>
      <c r="C394" s="13"/>
      <c r="E394" s="97">
        <f>(E389+1)</f>
        <v>2</v>
      </c>
      <c r="F394" s="13"/>
      <c r="G394" s="13"/>
      <c r="H394" s="98"/>
      <c r="I394" s="98"/>
      <c r="J394" s="98"/>
      <c r="K394" s="98"/>
      <c r="L394" s="98"/>
      <c r="M394" s="98"/>
    </row>
    <row r="395" spans="1:13" ht="12">
      <c r="A395" s="97">
        <f>(A394+1)</f>
        <v>7</v>
      </c>
      <c r="C395" s="12"/>
      <c r="E395" s="97">
        <f aca="true" t="shared" si="10" ref="E395:E412">(E394+1)</f>
        <v>3</v>
      </c>
      <c r="F395" s="13"/>
      <c r="G395" s="13"/>
      <c r="H395" s="98"/>
      <c r="I395" s="98"/>
      <c r="J395" s="98"/>
      <c r="K395" s="98"/>
      <c r="L395" s="98"/>
      <c r="M395" s="98"/>
    </row>
    <row r="396" spans="1:13" ht="12">
      <c r="A396" s="97">
        <f>(A395+1)</f>
        <v>8</v>
      </c>
      <c r="C396" s="13"/>
      <c r="E396" s="97">
        <f t="shared" si="10"/>
        <v>4</v>
      </c>
      <c r="F396" s="13"/>
      <c r="G396" s="13"/>
      <c r="H396" s="98">
        <v>0</v>
      </c>
      <c r="I396" s="98"/>
      <c r="J396" s="98">
        <v>0</v>
      </c>
      <c r="K396" s="98"/>
      <c r="L396" s="98"/>
      <c r="M396" s="98"/>
    </row>
    <row r="397" spans="1:13" ht="12">
      <c r="A397" s="97">
        <f t="shared" si="9"/>
        <v>9</v>
      </c>
      <c r="C397" s="13"/>
      <c r="E397" s="97">
        <f t="shared" si="10"/>
        <v>5</v>
      </c>
      <c r="F397" s="13"/>
      <c r="G397" s="13"/>
      <c r="H397" s="98"/>
      <c r="I397" s="98"/>
      <c r="J397" s="98"/>
      <c r="K397" s="98"/>
      <c r="L397" s="98"/>
      <c r="M397" s="98"/>
    </row>
    <row r="398" spans="1:13" ht="12">
      <c r="A398" s="97">
        <f t="shared" si="9"/>
        <v>10</v>
      </c>
      <c r="E398" s="97">
        <f t="shared" si="10"/>
        <v>6</v>
      </c>
      <c r="F398" s="13"/>
      <c r="G398" s="13"/>
      <c r="H398" s="98"/>
      <c r="I398" s="98"/>
      <c r="J398" s="98"/>
      <c r="K398" s="98"/>
      <c r="L398" s="98"/>
      <c r="M398" s="98"/>
    </row>
    <row r="399" spans="1:13" ht="12">
      <c r="A399" s="97">
        <f t="shared" si="9"/>
        <v>11</v>
      </c>
      <c r="E399" s="97">
        <f t="shared" si="10"/>
        <v>7</v>
      </c>
      <c r="F399" s="13"/>
      <c r="G399" s="13"/>
      <c r="H399" s="98"/>
      <c r="I399" s="98"/>
      <c r="J399" s="98"/>
      <c r="K399" s="98"/>
      <c r="L399" s="98"/>
      <c r="M399" s="98"/>
    </row>
    <row r="400" spans="1:13" ht="12">
      <c r="A400" s="97">
        <f t="shared" si="9"/>
        <v>12</v>
      </c>
      <c r="E400" s="97">
        <f t="shared" si="10"/>
        <v>8</v>
      </c>
      <c r="F400" s="13"/>
      <c r="G400" s="13"/>
      <c r="H400" s="98"/>
      <c r="I400" s="98"/>
      <c r="J400" s="98"/>
      <c r="K400" s="98"/>
      <c r="L400" s="98"/>
      <c r="M400" s="98"/>
    </row>
    <row r="401" spans="1:13" ht="12">
      <c r="A401" s="97">
        <f t="shared" si="9"/>
        <v>13</v>
      </c>
      <c r="C401" s="13"/>
      <c r="E401" s="97">
        <f t="shared" si="10"/>
        <v>9</v>
      </c>
      <c r="F401" s="13"/>
      <c r="G401" s="13"/>
      <c r="H401" s="98"/>
      <c r="I401" s="98"/>
      <c r="J401" s="98"/>
      <c r="K401" s="98"/>
      <c r="L401" s="98"/>
      <c r="M401" s="98"/>
    </row>
    <row r="402" spans="1:13" ht="12">
      <c r="A402" s="97">
        <f t="shared" si="9"/>
        <v>14</v>
      </c>
      <c r="C402" s="13" t="s">
        <v>184</v>
      </c>
      <c r="E402" s="97">
        <f t="shared" si="10"/>
        <v>10</v>
      </c>
      <c r="F402" s="13"/>
      <c r="G402" s="13"/>
      <c r="H402" s="98"/>
      <c r="I402" s="98"/>
      <c r="J402" s="98"/>
      <c r="K402" s="98"/>
      <c r="L402" s="98"/>
      <c r="M402" s="98"/>
    </row>
    <row r="403" spans="1:13" ht="12">
      <c r="A403" s="97">
        <f t="shared" si="9"/>
        <v>15</v>
      </c>
      <c r="C403" s="13"/>
      <c r="E403" s="97">
        <f t="shared" si="10"/>
        <v>11</v>
      </c>
      <c r="F403" s="13"/>
      <c r="G403" s="13"/>
      <c r="H403" s="98">
        <v>0</v>
      </c>
      <c r="I403" s="98"/>
      <c r="J403" s="98">
        <v>0</v>
      </c>
      <c r="K403" s="98"/>
      <c r="L403" s="98"/>
      <c r="M403" s="98"/>
    </row>
    <row r="404" spans="1:13" ht="12">
      <c r="A404" s="97">
        <f t="shared" si="9"/>
        <v>16</v>
      </c>
      <c r="C404" s="13"/>
      <c r="E404" s="97">
        <f t="shared" si="10"/>
        <v>12</v>
      </c>
      <c r="F404" s="13"/>
      <c r="G404" s="13"/>
      <c r="H404" s="98"/>
      <c r="I404" s="98"/>
      <c r="J404" s="98"/>
      <c r="K404" s="98"/>
      <c r="L404" s="98"/>
      <c r="M404" s="98"/>
    </row>
    <row r="405" spans="1:13" ht="12">
      <c r="A405" s="97">
        <f t="shared" si="9"/>
        <v>17</v>
      </c>
      <c r="C405" s="13"/>
      <c r="E405" s="97">
        <f t="shared" si="10"/>
        <v>13</v>
      </c>
      <c r="F405" s="13"/>
      <c r="G405" s="13"/>
      <c r="H405" s="98"/>
      <c r="I405" s="98"/>
      <c r="J405" s="98"/>
      <c r="K405" s="98"/>
      <c r="L405" s="98"/>
      <c r="M405" s="98"/>
    </row>
    <row r="406" spans="1:13" ht="12">
      <c r="A406" s="97">
        <f t="shared" si="9"/>
        <v>18</v>
      </c>
      <c r="C406" s="13"/>
      <c r="E406" s="97">
        <f t="shared" si="10"/>
        <v>14</v>
      </c>
      <c r="F406" s="13"/>
      <c r="G406" s="13"/>
      <c r="H406" s="98"/>
      <c r="I406" s="98"/>
      <c r="J406" s="98"/>
      <c r="K406" s="98"/>
      <c r="L406" s="98"/>
      <c r="M406" s="98"/>
    </row>
    <row r="407" spans="1:13" ht="12">
      <c r="A407" s="97">
        <f t="shared" si="9"/>
        <v>19</v>
      </c>
      <c r="C407" s="13"/>
      <c r="E407" s="97">
        <f t="shared" si="10"/>
        <v>15</v>
      </c>
      <c r="F407" s="13"/>
      <c r="G407" s="13"/>
      <c r="H407" s="98"/>
      <c r="I407" s="98"/>
      <c r="J407" s="98"/>
      <c r="K407" s="98"/>
      <c r="L407" s="98"/>
      <c r="M407" s="98"/>
    </row>
    <row r="408" spans="1:13" ht="12">
      <c r="A408" s="97">
        <f t="shared" si="9"/>
        <v>20</v>
      </c>
      <c r="C408" s="13"/>
      <c r="E408" s="97">
        <f t="shared" si="10"/>
        <v>16</v>
      </c>
      <c r="F408" s="13"/>
      <c r="G408" s="13"/>
      <c r="H408" s="98"/>
      <c r="I408" s="98"/>
      <c r="J408" s="98"/>
      <c r="K408" s="98"/>
      <c r="L408" s="98"/>
      <c r="M408" s="98"/>
    </row>
    <row r="409" spans="1:13" ht="12">
      <c r="A409" s="97">
        <f t="shared" si="9"/>
        <v>21</v>
      </c>
      <c r="C409" s="13"/>
      <c r="E409" s="97">
        <f t="shared" si="10"/>
        <v>17</v>
      </c>
      <c r="F409" s="13"/>
      <c r="G409" s="13"/>
      <c r="H409" s="98"/>
      <c r="I409" s="98"/>
      <c r="J409" s="98"/>
      <c r="K409" s="98"/>
      <c r="L409" s="98"/>
      <c r="M409" s="98"/>
    </row>
    <row r="410" spans="1:13" ht="12">
      <c r="A410" s="97">
        <f t="shared" si="9"/>
        <v>22</v>
      </c>
      <c r="C410" s="13"/>
      <c r="E410" s="97">
        <f t="shared" si="10"/>
        <v>18</v>
      </c>
      <c r="F410" s="13"/>
      <c r="G410" s="13"/>
      <c r="H410" s="98"/>
      <c r="I410" s="98"/>
      <c r="J410" s="98"/>
      <c r="K410" s="98"/>
      <c r="L410" s="98"/>
      <c r="M410" s="98"/>
    </row>
    <row r="411" spans="1:13" ht="12">
      <c r="A411" s="97">
        <f t="shared" si="9"/>
        <v>23</v>
      </c>
      <c r="C411" s="13"/>
      <c r="E411" s="97">
        <f t="shared" si="10"/>
        <v>19</v>
      </c>
      <c r="F411" s="13"/>
      <c r="G411" s="13"/>
      <c r="H411" s="98"/>
      <c r="I411" s="98"/>
      <c r="J411" s="98"/>
      <c r="K411" s="98"/>
      <c r="L411" s="98"/>
      <c r="M411" s="98"/>
    </row>
    <row r="412" spans="1:13" ht="12">
      <c r="A412" s="97">
        <f t="shared" si="9"/>
        <v>24</v>
      </c>
      <c r="C412" s="13"/>
      <c r="E412" s="97">
        <f t="shared" si="10"/>
        <v>20</v>
      </c>
      <c r="F412" s="13"/>
      <c r="G412" s="13"/>
      <c r="H412" s="98"/>
      <c r="I412" s="98"/>
      <c r="J412" s="98"/>
      <c r="K412" s="98"/>
      <c r="L412" s="98"/>
      <c r="M412" s="98"/>
    </row>
    <row r="413" spans="1:13" ht="12">
      <c r="A413" s="99"/>
      <c r="E413" s="99"/>
      <c r="F413" s="90" t="s">
        <v>1</v>
      </c>
      <c r="G413" s="90"/>
      <c r="H413" s="90"/>
      <c r="I413" s="22" t="s">
        <v>1</v>
      </c>
      <c r="J413" s="23"/>
      <c r="K413" s="90"/>
      <c r="L413" s="22"/>
      <c r="M413" s="23"/>
    </row>
    <row r="414" spans="1:13" ht="13.5" customHeight="1">
      <c r="A414" s="97">
        <f>(A412+1)</f>
        <v>25</v>
      </c>
      <c r="C414" s="12" t="s">
        <v>185</v>
      </c>
      <c r="E414" s="97">
        <f>(E412+1)</f>
        <v>21</v>
      </c>
      <c r="H414" s="100">
        <f>SUM(H389:H412)</f>
        <v>0</v>
      </c>
      <c r="I414" s="101"/>
      <c r="J414" s="100">
        <f>SUM(J389:J412)</f>
        <v>8511345</v>
      </c>
      <c r="K414" s="100"/>
      <c r="L414" s="101"/>
      <c r="M414" s="100">
        <f>SUM(M389:M412)</f>
        <v>18943716</v>
      </c>
    </row>
    <row r="415" spans="1:13" ht="12">
      <c r="A415" s="97"/>
      <c r="C415" s="12"/>
      <c r="E415" s="97"/>
      <c r="F415" s="90" t="s">
        <v>1</v>
      </c>
      <c r="G415" s="90"/>
      <c r="H415" s="90"/>
      <c r="I415" s="22" t="s">
        <v>1</v>
      </c>
      <c r="J415" s="23"/>
      <c r="K415" s="90"/>
      <c r="L415" s="22"/>
      <c r="M415" s="23"/>
    </row>
    <row r="416" ht="12">
      <c r="E416" s="50"/>
    </row>
    <row r="417" ht="12">
      <c r="E417" s="50"/>
    </row>
    <row r="418" spans="1:13" ht="12">
      <c r="A418" s="19" t="str">
        <f>$A$36</f>
        <v>Institution No.:  GFE</v>
      </c>
      <c r="B418" s="46"/>
      <c r="C418" s="46"/>
      <c r="D418" s="46"/>
      <c r="E418" s="51"/>
      <c r="F418" s="46"/>
      <c r="G418" s="46"/>
      <c r="H418" s="46"/>
      <c r="I418" s="52"/>
      <c r="J418" s="53"/>
      <c r="K418" s="46"/>
      <c r="L418" s="52"/>
      <c r="M418" s="18" t="s">
        <v>186</v>
      </c>
    </row>
    <row r="419" spans="1:13" ht="12">
      <c r="A419" s="262" t="s">
        <v>253</v>
      </c>
      <c r="B419" s="262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</row>
    <row r="420" spans="1:13" ht="12">
      <c r="A420" s="19" t="s">
        <v>664</v>
      </c>
      <c r="C420" s="7" t="s">
        <v>666</v>
      </c>
      <c r="J420" s="55"/>
      <c r="L420" s="17"/>
      <c r="M420" s="20" t="str">
        <f>$M$3</f>
        <v>Date: 10/1/2008</v>
      </c>
    </row>
    <row r="421" spans="1:13" ht="12">
      <c r="A421" s="21" t="s">
        <v>1</v>
      </c>
      <c r="B421" s="21" t="s">
        <v>1</v>
      </c>
      <c r="C421" s="21" t="s">
        <v>1</v>
      </c>
      <c r="D421" s="21" t="s">
        <v>1</v>
      </c>
      <c r="E421" s="21" t="s">
        <v>1</v>
      </c>
      <c r="F421" s="21" t="s">
        <v>1</v>
      </c>
      <c r="G421" s="21"/>
      <c r="H421" s="21"/>
      <c r="I421" s="22" t="s">
        <v>1</v>
      </c>
      <c r="J421" s="23" t="s">
        <v>1</v>
      </c>
      <c r="K421" s="21" t="s">
        <v>1</v>
      </c>
      <c r="L421" s="22" t="s">
        <v>1</v>
      </c>
      <c r="M421" s="23" t="s">
        <v>1</v>
      </c>
    </row>
    <row r="422" spans="1:13" ht="12">
      <c r="A422" s="24" t="s">
        <v>2</v>
      </c>
      <c r="E422" s="24" t="s">
        <v>2</v>
      </c>
      <c r="F422" s="25"/>
      <c r="G422" s="25"/>
      <c r="H422" s="25" t="s">
        <v>249</v>
      </c>
      <c r="I422" s="26"/>
      <c r="J422" s="27" t="s">
        <v>251</v>
      </c>
      <c r="K422" s="25"/>
      <c r="L422" s="26"/>
      <c r="M422" s="27" t="s">
        <v>260</v>
      </c>
    </row>
    <row r="423" spans="1:13" ht="12">
      <c r="A423" s="24" t="s">
        <v>4</v>
      </c>
      <c r="C423" s="28" t="s">
        <v>20</v>
      </c>
      <c r="E423" s="24" t="s">
        <v>4</v>
      </c>
      <c r="F423" s="25"/>
      <c r="G423" s="25"/>
      <c r="H423" s="27" t="s">
        <v>7</v>
      </c>
      <c r="I423" s="26"/>
      <c r="J423" s="27" t="s">
        <v>7</v>
      </c>
      <c r="K423" s="25"/>
      <c r="L423" s="26"/>
      <c r="M423" s="27" t="s">
        <v>8</v>
      </c>
    </row>
    <row r="424" spans="1:13" ht="12">
      <c r="A424" s="21" t="s">
        <v>1</v>
      </c>
      <c r="B424" s="21" t="s">
        <v>1</v>
      </c>
      <c r="C424" s="21" t="s">
        <v>1</v>
      </c>
      <c r="D424" s="21" t="s">
        <v>1</v>
      </c>
      <c r="E424" s="21" t="s">
        <v>1</v>
      </c>
      <c r="F424" s="21" t="s">
        <v>1</v>
      </c>
      <c r="G424" s="21"/>
      <c r="H424" s="21"/>
      <c r="I424" s="22" t="s">
        <v>1</v>
      </c>
      <c r="J424" s="23" t="s">
        <v>1</v>
      </c>
      <c r="K424" s="21" t="s">
        <v>1</v>
      </c>
      <c r="L424" s="22" t="s">
        <v>1</v>
      </c>
      <c r="M424" s="23" t="s">
        <v>1</v>
      </c>
    </row>
    <row r="425" spans="1:13" ht="12">
      <c r="A425" s="7">
        <v>1</v>
      </c>
      <c r="C425" s="7" t="s">
        <v>268</v>
      </c>
      <c r="E425" s="7">
        <v>1</v>
      </c>
      <c r="H425" s="102">
        <v>60171681</v>
      </c>
      <c r="I425" s="102"/>
      <c r="J425" s="102">
        <v>61214736</v>
      </c>
      <c r="K425" s="102"/>
      <c r="L425" s="102"/>
      <c r="M425" s="102">
        <f>84442696-M389</f>
        <v>65498980</v>
      </c>
    </row>
    <row r="426" ht="12">
      <c r="A426" s="7">
        <v>2</v>
      </c>
    </row>
    <row r="427" ht="12">
      <c r="E427" s="50"/>
    </row>
    <row r="428" ht="12">
      <c r="E428" s="50"/>
    </row>
    <row r="429" ht="12">
      <c r="E429" s="50"/>
    </row>
    <row r="430" ht="12">
      <c r="E430" s="50"/>
    </row>
    <row r="431" ht="12">
      <c r="E431" s="50"/>
    </row>
    <row r="432" ht="12">
      <c r="E432" s="50"/>
    </row>
    <row r="433" ht="12">
      <c r="E433" s="50"/>
    </row>
    <row r="434" ht="12">
      <c r="E434" s="50"/>
    </row>
    <row r="435" ht="12">
      <c r="E435" s="50"/>
    </row>
    <row r="436" ht="12">
      <c r="E436" s="50"/>
    </row>
    <row r="437" ht="12">
      <c r="E437" s="50"/>
    </row>
    <row r="438" ht="12">
      <c r="E438" s="50"/>
    </row>
    <row r="439" ht="12">
      <c r="E439" s="50"/>
    </row>
    <row r="440" spans="2:6" ht="12.75">
      <c r="B440" s="56"/>
      <c r="C440" s="57"/>
      <c r="D440" s="58"/>
      <c r="E440" s="58"/>
      <c r="F440" s="58"/>
    </row>
    <row r="441" spans="2:6" ht="12.75">
      <c r="B441" s="56"/>
      <c r="C441" s="57"/>
      <c r="D441" s="58"/>
      <c r="E441" s="58"/>
      <c r="F441" s="58"/>
    </row>
    <row r="442" ht="12">
      <c r="E442" s="50"/>
    </row>
    <row r="443" ht="12">
      <c r="E443" s="50"/>
    </row>
    <row r="444" ht="12">
      <c r="E444" s="50"/>
    </row>
    <row r="445" ht="12">
      <c r="E445" s="50"/>
    </row>
    <row r="446" ht="12">
      <c r="E446" s="50"/>
    </row>
    <row r="447" ht="12">
      <c r="E447" s="50"/>
    </row>
    <row r="448" ht="12">
      <c r="E448" s="50"/>
    </row>
    <row r="449" ht="12">
      <c r="E449" s="50"/>
    </row>
    <row r="450" ht="12">
      <c r="E450" s="50"/>
    </row>
    <row r="451" ht="12">
      <c r="E451" s="50"/>
    </row>
    <row r="452" ht="12">
      <c r="E452" s="50"/>
    </row>
    <row r="453" ht="12">
      <c r="E453" s="50"/>
    </row>
    <row r="454" ht="12">
      <c r="E454" s="50"/>
    </row>
    <row r="455" spans="5:13" ht="12">
      <c r="E455" s="50"/>
      <c r="I455" s="17"/>
      <c r="J455" s="55"/>
      <c r="L455" s="17"/>
      <c r="M455" s="55"/>
    </row>
    <row r="456" spans="1:13" s="46" customFormat="1" ht="12">
      <c r="A456" s="19" t="str">
        <f>$A$36</f>
        <v>Institution No.:  GFE</v>
      </c>
      <c r="E456" s="51"/>
      <c r="I456" s="52"/>
      <c r="J456" s="53"/>
      <c r="L456" s="52"/>
      <c r="M456" s="18" t="s">
        <v>22</v>
      </c>
    </row>
    <row r="457" spans="1:13" s="46" customFormat="1" ht="12">
      <c r="A457" s="274" t="s">
        <v>148</v>
      </c>
      <c r="B457" s="274"/>
      <c r="C457" s="274"/>
      <c r="D457" s="274"/>
      <c r="E457" s="274"/>
      <c r="F457" s="274"/>
      <c r="G457" s="274"/>
      <c r="H457" s="274"/>
      <c r="I457" s="274"/>
      <c r="J457" s="274"/>
      <c r="K457" s="274"/>
      <c r="L457" s="274"/>
      <c r="M457" s="274"/>
    </row>
    <row r="458" spans="1:13" ht="12">
      <c r="A458" s="19" t="s">
        <v>664</v>
      </c>
      <c r="C458" s="7" t="s">
        <v>666</v>
      </c>
      <c r="I458" s="103"/>
      <c r="J458" s="55"/>
      <c r="L458" s="17"/>
      <c r="M458" s="20" t="str">
        <f>$M$3</f>
        <v>Date: 10/1/2008</v>
      </c>
    </row>
    <row r="459" spans="1:13" ht="12">
      <c r="A459" s="21" t="s">
        <v>1</v>
      </c>
      <c r="B459" s="21" t="s">
        <v>1</v>
      </c>
      <c r="C459" s="21" t="s">
        <v>1</v>
      </c>
      <c r="D459" s="21" t="s">
        <v>1</v>
      </c>
      <c r="E459" s="21" t="s">
        <v>1</v>
      </c>
      <c r="F459" s="21" t="s">
        <v>1</v>
      </c>
      <c r="G459" s="21"/>
      <c r="H459" s="21"/>
      <c r="I459" s="22" t="s">
        <v>1</v>
      </c>
      <c r="J459" s="23" t="s">
        <v>1</v>
      </c>
      <c r="K459" s="21" t="s">
        <v>1</v>
      </c>
      <c r="L459" s="22" t="s">
        <v>1</v>
      </c>
      <c r="M459" s="23" t="s">
        <v>1</v>
      </c>
    </row>
    <row r="460" spans="1:13" ht="12">
      <c r="A460" s="24" t="s">
        <v>2</v>
      </c>
      <c r="E460" s="24" t="s">
        <v>2</v>
      </c>
      <c r="F460" s="25"/>
      <c r="G460" s="26"/>
      <c r="H460" s="25" t="s">
        <v>249</v>
      </c>
      <c r="I460" s="26"/>
      <c r="J460" s="27" t="s">
        <v>251</v>
      </c>
      <c r="K460" s="25"/>
      <c r="L460" s="26"/>
      <c r="M460" s="27" t="s">
        <v>260</v>
      </c>
    </row>
    <row r="461" spans="1:13" ht="12">
      <c r="A461" s="24" t="s">
        <v>4</v>
      </c>
      <c r="C461" s="28" t="s">
        <v>20</v>
      </c>
      <c r="E461" s="24" t="s">
        <v>4</v>
      </c>
      <c r="F461" s="25"/>
      <c r="G461" s="26" t="s">
        <v>6</v>
      </c>
      <c r="H461" s="27" t="s">
        <v>7</v>
      </c>
      <c r="I461" s="26" t="s">
        <v>6</v>
      </c>
      <c r="J461" s="27" t="s">
        <v>7</v>
      </c>
      <c r="K461" s="25"/>
      <c r="L461" s="26" t="s">
        <v>6</v>
      </c>
      <c r="M461" s="27" t="s">
        <v>8</v>
      </c>
    </row>
    <row r="462" spans="1:13" ht="12">
      <c r="A462" s="21" t="s">
        <v>1</v>
      </c>
      <c r="B462" s="21" t="s">
        <v>1</v>
      </c>
      <c r="C462" s="21" t="s">
        <v>1</v>
      </c>
      <c r="D462" s="21" t="s">
        <v>1</v>
      </c>
      <c r="E462" s="21" t="s">
        <v>1</v>
      </c>
      <c r="F462" s="21" t="s">
        <v>1</v>
      </c>
      <c r="G462" s="21"/>
      <c r="H462" s="21"/>
      <c r="I462" s="22" t="s">
        <v>1</v>
      </c>
      <c r="J462" s="23" t="s">
        <v>1</v>
      </c>
      <c r="K462" s="21" t="s">
        <v>1</v>
      </c>
      <c r="L462" s="22" t="s">
        <v>1</v>
      </c>
      <c r="M462" s="23" t="s">
        <v>1</v>
      </c>
    </row>
    <row r="463" spans="1:13" ht="12">
      <c r="A463" s="11">
        <v>1</v>
      </c>
      <c r="C463" s="12" t="s">
        <v>36</v>
      </c>
      <c r="E463" s="11">
        <v>1</v>
      </c>
      <c r="F463" s="13"/>
      <c r="G463" s="104">
        <v>286.34</v>
      </c>
      <c r="H463" s="1">
        <v>30382330</v>
      </c>
      <c r="I463" s="104">
        <f>J463/100645</f>
        <v>342.2319340255353</v>
      </c>
      <c r="J463" s="1">
        <f>28369606+725300+4560860+293357+497596-110045+107259</f>
        <v>34443933</v>
      </c>
      <c r="K463" s="1"/>
      <c r="L463" s="104">
        <f>-1.28+309.46+7.28+68.5+1.85+0.16+2.25+9.03</f>
        <v>397.25</v>
      </c>
      <c r="M463" s="88">
        <f>34460243+5154690+66814+129052+311889+674179</f>
        <v>40796867</v>
      </c>
    </row>
    <row r="464" spans="1:13" ht="12">
      <c r="A464" s="11">
        <v>2</v>
      </c>
      <c r="C464" s="12" t="s">
        <v>37</v>
      </c>
      <c r="E464" s="11">
        <v>2</v>
      </c>
      <c r="F464" s="13"/>
      <c r="G464" s="104"/>
      <c r="H464" s="1">
        <v>6592838</v>
      </c>
      <c r="I464" s="104"/>
      <c r="J464" s="1">
        <f>8107016+455007+1236603+70672+105447-1697028-133660-24939+24308</f>
        <v>8143426</v>
      </c>
      <c r="K464" s="1"/>
      <c r="L464" s="104"/>
      <c r="M464" s="88">
        <f>8443577+1326534+29563+28432+69293+159178</f>
        <v>10056577</v>
      </c>
    </row>
    <row r="465" spans="1:13" ht="12">
      <c r="A465" s="11">
        <v>3</v>
      </c>
      <c r="C465" s="12" t="s">
        <v>219</v>
      </c>
      <c r="E465" s="11">
        <v>3</v>
      </c>
      <c r="F465" s="13"/>
      <c r="G465" s="104">
        <v>48.74</v>
      </c>
      <c r="H465" s="1">
        <v>2025657</v>
      </c>
      <c r="I465" s="104">
        <f>J465/42853</f>
        <v>35.626677245467064</v>
      </c>
      <c r="J465" s="1">
        <f>1397407+129303</f>
        <v>1526710</v>
      </c>
      <c r="K465" s="1"/>
      <c r="L465" s="104">
        <v>31.13</v>
      </c>
      <c r="M465" s="88">
        <f>862319+349806+13092+175500</f>
        <v>1400717</v>
      </c>
    </row>
    <row r="466" spans="1:13" ht="12">
      <c r="A466" s="11">
        <v>4</v>
      </c>
      <c r="C466" s="12" t="s">
        <v>23</v>
      </c>
      <c r="E466" s="11">
        <v>4</v>
      </c>
      <c r="F466" s="13"/>
      <c r="G466" s="104">
        <f>SUM(G463:G465)</f>
        <v>335.08</v>
      </c>
      <c r="H466" s="184">
        <f>SUM(H463:H465)</f>
        <v>39000825</v>
      </c>
      <c r="I466" s="104">
        <f>SUM(I463:I465)</f>
        <v>377.85861127100236</v>
      </c>
      <c r="J466" s="105">
        <f>SUM(J463:J465)</f>
        <v>44114069</v>
      </c>
      <c r="K466" s="105"/>
      <c r="L466" s="104">
        <f>SUM(L463:L465)</f>
        <v>428.38</v>
      </c>
      <c r="M466" s="59">
        <f>SUM(M463:M465)</f>
        <v>52254161</v>
      </c>
    </row>
    <row r="467" spans="1:13" ht="12">
      <c r="A467" s="11">
        <v>5</v>
      </c>
      <c r="E467" s="11">
        <v>5</v>
      </c>
      <c r="F467" s="13"/>
      <c r="G467" s="104"/>
      <c r="H467" s="1"/>
      <c r="I467" s="104"/>
      <c r="J467" s="1"/>
      <c r="K467" s="100"/>
      <c r="L467" s="104"/>
      <c r="M467" s="59"/>
    </row>
    <row r="468" spans="1:13" ht="12">
      <c r="A468" s="11">
        <v>6</v>
      </c>
      <c r="C468" s="12" t="s">
        <v>24</v>
      </c>
      <c r="E468" s="11">
        <v>6</v>
      </c>
      <c r="F468" s="13"/>
      <c r="G468" s="104"/>
      <c r="H468" s="1"/>
      <c r="I468" s="104">
        <v>0</v>
      </c>
      <c r="J468" s="1"/>
      <c r="K468" s="1"/>
      <c r="L468" s="104">
        <v>0</v>
      </c>
      <c r="M468" s="88"/>
    </row>
    <row r="469" spans="1:13" ht="12">
      <c r="A469" s="11">
        <v>7</v>
      </c>
      <c r="C469" s="12" t="s">
        <v>25</v>
      </c>
      <c r="E469" s="11">
        <v>7</v>
      </c>
      <c r="F469" s="13"/>
      <c r="G469" s="104">
        <v>120.27</v>
      </c>
      <c r="H469" s="1">
        <v>5500295</v>
      </c>
      <c r="I469" s="104">
        <f>J469/42730</f>
        <v>145.52075824947343</v>
      </c>
      <c r="J469" s="1">
        <f>5585010+633092</f>
        <v>6218102</v>
      </c>
      <c r="K469" s="1"/>
      <c r="L469" s="104">
        <f>125.58+14.6</f>
        <v>140.18</v>
      </c>
      <c r="M469" s="88">
        <f>5753888+1966+134372+662691</f>
        <v>6552917</v>
      </c>
    </row>
    <row r="470" spans="1:13" ht="12">
      <c r="A470" s="11">
        <v>8</v>
      </c>
      <c r="C470" s="12" t="s">
        <v>26</v>
      </c>
      <c r="E470" s="11">
        <v>8</v>
      </c>
      <c r="F470" s="13"/>
      <c r="G470" s="104"/>
      <c r="H470" s="1">
        <v>1249688</v>
      </c>
      <c r="I470" s="104"/>
      <c r="J470" s="1">
        <f>1574675+149721-174631</f>
        <v>1549765</v>
      </c>
      <c r="K470" s="1"/>
      <c r="L470" s="104"/>
      <c r="M470" s="88">
        <f>1638569+17455+172853</f>
        <v>1828877</v>
      </c>
    </row>
    <row r="471" spans="1:13" ht="12">
      <c r="A471" s="11">
        <v>9</v>
      </c>
      <c r="C471" s="12" t="s">
        <v>27</v>
      </c>
      <c r="E471" s="11">
        <v>9</v>
      </c>
      <c r="F471" s="13"/>
      <c r="G471" s="104">
        <f>SUM(G468:G470)</f>
        <v>120.27</v>
      </c>
      <c r="H471" s="1">
        <f>SUM(H468:H470)</f>
        <v>6749983</v>
      </c>
      <c r="I471" s="104">
        <f>SUM(I468:I470)</f>
        <v>145.52075824947343</v>
      </c>
      <c r="J471" s="1">
        <f>SUM(J468:J470)</f>
        <v>7767867</v>
      </c>
      <c r="K471" s="101"/>
      <c r="L471" s="104">
        <f>SUM(L468:L470)</f>
        <v>140.18</v>
      </c>
      <c r="M471" s="59">
        <f>SUM(M468:M470)</f>
        <v>8381794</v>
      </c>
    </row>
    <row r="472" spans="1:13" ht="12">
      <c r="A472" s="11">
        <v>10</v>
      </c>
      <c r="E472" s="11">
        <v>10</v>
      </c>
      <c r="F472" s="13"/>
      <c r="G472" s="104"/>
      <c r="H472" s="1"/>
      <c r="I472" s="106"/>
      <c r="J472" s="1"/>
      <c r="K472" s="100"/>
      <c r="L472" s="106"/>
      <c r="M472" s="59"/>
    </row>
    <row r="473" spans="1:13" ht="12">
      <c r="A473" s="11">
        <v>11</v>
      </c>
      <c r="C473" s="12" t="s">
        <v>28</v>
      </c>
      <c r="E473" s="11">
        <v>11</v>
      </c>
      <c r="G473" s="107">
        <f>SUM(G466+G471)</f>
        <v>455.34999999999997</v>
      </c>
      <c r="H473" s="100">
        <f>SUM(H466+H471)</f>
        <v>45750808</v>
      </c>
      <c r="I473" s="107">
        <f>SUM(I466+I471)</f>
        <v>523.3793695204758</v>
      </c>
      <c r="J473" s="100">
        <f>SUM(J466+J471)</f>
        <v>51881936</v>
      </c>
      <c r="K473" s="100"/>
      <c r="L473" s="107">
        <f>SUM(L466+L471)</f>
        <v>568.56</v>
      </c>
      <c r="M473" s="59">
        <f>SUM(M466,M471)</f>
        <v>60635955</v>
      </c>
    </row>
    <row r="474" spans="1:13" ht="12">
      <c r="A474" s="11">
        <v>12</v>
      </c>
      <c r="E474" s="11">
        <v>12</v>
      </c>
      <c r="G474" s="107"/>
      <c r="H474" s="100"/>
      <c r="I474" s="107"/>
      <c r="J474" s="100"/>
      <c r="K474" s="100"/>
      <c r="L474" s="107"/>
      <c r="M474" s="59"/>
    </row>
    <row r="475" spans="1:13" ht="12">
      <c r="A475" s="11">
        <v>13</v>
      </c>
      <c r="C475" s="12" t="s">
        <v>29</v>
      </c>
      <c r="E475" s="11">
        <v>13</v>
      </c>
      <c r="F475" s="13"/>
      <c r="G475" s="104">
        <v>8.5</v>
      </c>
      <c r="H475" s="1">
        <v>334257</v>
      </c>
      <c r="I475" s="104">
        <v>7.53</v>
      </c>
      <c r="J475" s="1">
        <f>219558+114775+14218+63</f>
        <v>348614</v>
      </c>
      <c r="K475" s="1"/>
      <c r="L475" s="104">
        <f>4.3</f>
        <v>4.3</v>
      </c>
      <c r="M475" s="88">
        <f>120570+457+109784</f>
        <v>230811</v>
      </c>
    </row>
    <row r="476" spans="1:13" ht="12">
      <c r="A476" s="11">
        <v>14</v>
      </c>
      <c r="E476" s="11">
        <v>14</v>
      </c>
      <c r="F476" s="13"/>
      <c r="G476" s="104"/>
      <c r="H476" s="1"/>
      <c r="I476" s="104"/>
      <c r="J476" s="1"/>
      <c r="K476" s="1"/>
      <c r="L476" s="104"/>
      <c r="M476" s="88"/>
    </row>
    <row r="477" spans="1:13" ht="12">
      <c r="A477" s="11">
        <v>15</v>
      </c>
      <c r="C477" s="12" t="s">
        <v>30</v>
      </c>
      <c r="E477" s="11">
        <v>15</v>
      </c>
      <c r="F477" s="13"/>
      <c r="G477" s="104"/>
      <c r="H477" s="1">
        <v>834758</v>
      </c>
      <c r="I477" s="104"/>
      <c r="J477" s="1">
        <f>802974+7933</f>
        <v>810907</v>
      </c>
      <c r="K477" s="1"/>
      <c r="L477" s="104"/>
      <c r="M477" s="88">
        <v>615641</v>
      </c>
    </row>
    <row r="478" spans="1:13" ht="12">
      <c r="A478" s="11">
        <v>16</v>
      </c>
      <c r="C478" s="12"/>
      <c r="E478" s="11">
        <v>16</v>
      </c>
      <c r="F478" s="13"/>
      <c r="G478" s="104"/>
      <c r="H478" s="1"/>
      <c r="I478" s="104"/>
      <c r="J478" s="1"/>
      <c r="K478" s="1"/>
      <c r="L478" s="104"/>
      <c r="M478" s="88"/>
    </row>
    <row r="479" spans="1:13" ht="18.75" customHeight="1">
      <c r="A479" s="11">
        <v>17</v>
      </c>
      <c r="C479" s="217" t="s">
        <v>31</v>
      </c>
      <c r="E479" s="11">
        <v>17</v>
      </c>
      <c r="F479" s="13"/>
      <c r="G479" s="104"/>
      <c r="H479" s="1">
        <v>8434482</v>
      </c>
      <c r="I479" s="104"/>
      <c r="J479" s="1">
        <f>29878+11915390+2022+813068+32-10038+579849+3411-781568-756443-1185269+2</f>
        <v>10610334</v>
      </c>
      <c r="K479" s="1"/>
      <c r="L479" s="104"/>
      <c r="M479" s="88">
        <f>22178657+1805460+116851+255448+671324-1805460-385364-1121910-10000000+371918+486841-1000000</f>
        <v>11573765</v>
      </c>
    </row>
    <row r="480" spans="1:13" ht="12">
      <c r="A480" s="11">
        <v>18</v>
      </c>
      <c r="C480" s="12"/>
      <c r="E480" s="11">
        <v>18</v>
      </c>
      <c r="G480" s="104"/>
      <c r="H480" s="1"/>
      <c r="I480" s="104"/>
      <c r="J480" s="1"/>
      <c r="K480" s="1"/>
      <c r="L480" s="104"/>
      <c r="M480" s="88"/>
    </row>
    <row r="481" spans="1:13" ht="12">
      <c r="A481" s="11">
        <v>19</v>
      </c>
      <c r="C481" s="12" t="s">
        <v>277</v>
      </c>
      <c r="E481" s="11">
        <v>19</v>
      </c>
      <c r="G481" s="104"/>
      <c r="H481" s="1"/>
      <c r="I481" s="104"/>
      <c r="J481" s="1">
        <f>377884-374473-3411</f>
        <v>0</v>
      </c>
      <c r="K481" s="1"/>
      <c r="L481" s="104"/>
      <c r="M481" s="1">
        <f>50000+177489-227489</f>
        <v>0</v>
      </c>
    </row>
    <row r="482" spans="1:13" ht="12">
      <c r="A482" s="11">
        <v>20</v>
      </c>
      <c r="C482" s="12"/>
      <c r="E482" s="11">
        <v>20</v>
      </c>
      <c r="G482" s="104"/>
      <c r="H482" s="1"/>
      <c r="I482" s="104"/>
      <c r="J482" s="1"/>
      <c r="K482" s="1"/>
      <c r="L482" s="104"/>
      <c r="M482" s="88"/>
    </row>
    <row r="483" spans="1:13" ht="12">
      <c r="A483" s="11">
        <v>21</v>
      </c>
      <c r="C483" s="12"/>
      <c r="E483" s="11">
        <v>21</v>
      </c>
      <c r="G483" s="104"/>
      <c r="H483" s="1"/>
      <c r="I483" s="104"/>
      <c r="J483" s="1"/>
      <c r="K483" s="1"/>
      <c r="L483" s="104"/>
      <c r="M483" s="1"/>
    </row>
    <row r="484" spans="1:13" ht="12">
      <c r="A484" s="11">
        <v>22</v>
      </c>
      <c r="C484" s="12"/>
      <c r="E484" s="11">
        <v>22</v>
      </c>
      <c r="G484" s="104"/>
      <c r="H484" s="1"/>
      <c r="I484" s="104"/>
      <c r="J484" s="1"/>
      <c r="K484" s="1"/>
      <c r="L484" s="104"/>
      <c r="M484" s="1"/>
    </row>
    <row r="485" spans="1:13" ht="12">
      <c r="A485" s="11">
        <v>23</v>
      </c>
      <c r="C485" s="12"/>
      <c r="E485" s="11">
        <v>23</v>
      </c>
      <c r="G485" s="104"/>
      <c r="H485" s="1"/>
      <c r="I485" s="104"/>
      <c r="J485" s="1"/>
      <c r="K485" s="1"/>
      <c r="L485" s="104"/>
      <c r="M485" s="1"/>
    </row>
    <row r="486" spans="1:13" ht="12">
      <c r="A486" s="11">
        <v>24</v>
      </c>
      <c r="C486" s="12"/>
      <c r="E486" s="11">
        <v>24</v>
      </c>
      <c r="G486" s="104"/>
      <c r="H486" s="1"/>
      <c r="I486" s="104"/>
      <c r="J486" s="1"/>
      <c r="K486" s="1"/>
      <c r="L486" s="104"/>
      <c r="M486" s="1"/>
    </row>
    <row r="487" spans="1:13" ht="12">
      <c r="A487" s="11"/>
      <c r="C487" s="12"/>
      <c r="E487" s="11"/>
      <c r="G487" s="104"/>
      <c r="H487" s="1"/>
      <c r="I487" s="104"/>
      <c r="J487" s="1"/>
      <c r="K487" s="1"/>
      <c r="L487" s="104"/>
      <c r="M487" s="1"/>
    </row>
    <row r="488" spans="1:13" ht="12">
      <c r="A488" s="11"/>
      <c r="E488" s="11"/>
      <c r="G488" s="104"/>
      <c r="H488" s="1"/>
      <c r="I488" s="104"/>
      <c r="J488" s="1"/>
      <c r="K488" s="1"/>
      <c r="L488" s="104"/>
      <c r="M488" s="1"/>
    </row>
    <row r="489" spans="1:13" ht="12">
      <c r="A489" s="11"/>
      <c r="E489" s="11"/>
      <c r="F489" s="90" t="s">
        <v>1</v>
      </c>
      <c r="G489" s="89"/>
      <c r="H489" s="90"/>
      <c r="I489" s="89"/>
      <c r="J489" s="23"/>
      <c r="K489" s="90"/>
      <c r="L489" s="89"/>
      <c r="M489" s="23"/>
    </row>
    <row r="490" spans="1:13" ht="13.5" customHeight="1">
      <c r="A490" s="11">
        <v>25</v>
      </c>
      <c r="C490" s="12" t="s">
        <v>234</v>
      </c>
      <c r="E490" s="11">
        <v>25</v>
      </c>
      <c r="G490" s="107">
        <f>SUM(G473:G483)</f>
        <v>463.84999999999997</v>
      </c>
      <c r="H490" s="100">
        <f>SUM(H473:H483)</f>
        <v>55354305</v>
      </c>
      <c r="I490" s="107">
        <f>SUM(I473:I483)</f>
        <v>530.9093695204758</v>
      </c>
      <c r="J490" s="100">
        <f>SUM(J473:J483)</f>
        <v>63651791</v>
      </c>
      <c r="K490" s="108"/>
      <c r="L490" s="107">
        <f>SUM(L473:L483)</f>
        <v>572.8599999999999</v>
      </c>
      <c r="M490" s="100">
        <f>SUM(M473:M483)</f>
        <v>73056172</v>
      </c>
    </row>
    <row r="491" spans="6:13" ht="12">
      <c r="F491" s="90" t="s">
        <v>1</v>
      </c>
      <c r="G491" s="90"/>
      <c r="H491" s="90"/>
      <c r="I491" s="22"/>
      <c r="J491" s="23"/>
      <c r="K491" s="90"/>
      <c r="L491" s="22"/>
      <c r="M491" s="23"/>
    </row>
    <row r="492" ht="12">
      <c r="A492" s="12"/>
    </row>
    <row r="494" spans="1:13" s="46" customFormat="1" ht="12">
      <c r="A494" s="19" t="str">
        <f>$A$36</f>
        <v>Institution No.:  GFE</v>
      </c>
      <c r="E494" s="51"/>
      <c r="I494" s="52"/>
      <c r="J494" s="53"/>
      <c r="L494" s="52"/>
      <c r="M494" s="18" t="s">
        <v>33</v>
      </c>
    </row>
    <row r="495" spans="1:13" s="46" customFormat="1" ht="12">
      <c r="A495" s="274" t="s">
        <v>149</v>
      </c>
      <c r="B495" s="274"/>
      <c r="C495" s="274"/>
      <c r="D495" s="274"/>
      <c r="E495" s="274"/>
      <c r="F495" s="274"/>
      <c r="G495" s="274"/>
      <c r="H495" s="274"/>
      <c r="I495" s="274"/>
      <c r="J495" s="274"/>
      <c r="K495" s="274"/>
      <c r="L495" s="274"/>
      <c r="M495" s="274"/>
    </row>
    <row r="496" spans="1:13" ht="12">
      <c r="A496" s="19" t="s">
        <v>664</v>
      </c>
      <c r="C496" s="7" t="s">
        <v>666</v>
      </c>
      <c r="F496" s="92"/>
      <c r="G496" s="92"/>
      <c r="H496" s="92"/>
      <c r="I496" s="85"/>
      <c r="J496" s="86"/>
      <c r="L496" s="17"/>
      <c r="M496" s="20" t="str">
        <f>$M$3</f>
        <v>Date: 10/1/2008</v>
      </c>
    </row>
    <row r="497" spans="1:13" ht="12">
      <c r="A497" s="21" t="s">
        <v>1</v>
      </c>
      <c r="B497" s="21" t="s">
        <v>1</v>
      </c>
      <c r="C497" s="21" t="s">
        <v>1</v>
      </c>
      <c r="D497" s="21" t="s">
        <v>1</v>
      </c>
      <c r="E497" s="21" t="s">
        <v>1</v>
      </c>
      <c r="F497" s="21" t="s">
        <v>1</v>
      </c>
      <c r="G497" s="21"/>
      <c r="H497" s="21"/>
      <c r="I497" s="22" t="s">
        <v>1</v>
      </c>
      <c r="J497" s="23" t="s">
        <v>1</v>
      </c>
      <c r="K497" s="21" t="s">
        <v>1</v>
      </c>
      <c r="L497" s="22" t="s">
        <v>1</v>
      </c>
      <c r="M497" s="23" t="s">
        <v>1</v>
      </c>
    </row>
    <row r="498" spans="1:13" ht="12">
      <c r="A498" s="24" t="s">
        <v>2</v>
      </c>
      <c r="E498" s="24" t="s">
        <v>2</v>
      </c>
      <c r="F498" s="25"/>
      <c r="G498" s="26"/>
      <c r="H498" s="25" t="s">
        <v>249</v>
      </c>
      <c r="I498" s="26"/>
      <c r="J498" s="27" t="s">
        <v>251</v>
      </c>
      <c r="K498" s="25"/>
      <c r="L498" s="26"/>
      <c r="M498" s="27" t="s">
        <v>260</v>
      </c>
    </row>
    <row r="499" spans="1:13" ht="12">
      <c r="A499" s="24" t="s">
        <v>4</v>
      </c>
      <c r="C499" s="28" t="s">
        <v>20</v>
      </c>
      <c r="E499" s="24" t="s">
        <v>4</v>
      </c>
      <c r="F499" s="25"/>
      <c r="G499" s="26" t="s">
        <v>6</v>
      </c>
      <c r="H499" s="27" t="s">
        <v>7</v>
      </c>
      <c r="I499" s="26" t="s">
        <v>6</v>
      </c>
      <c r="J499" s="27" t="s">
        <v>7</v>
      </c>
      <c r="K499" s="25"/>
      <c r="L499" s="26" t="s">
        <v>6</v>
      </c>
      <c r="M499" s="27" t="s">
        <v>8</v>
      </c>
    </row>
    <row r="500" spans="1:13" ht="12">
      <c r="A500" s="21" t="s">
        <v>1</v>
      </c>
      <c r="B500" s="21" t="s">
        <v>1</v>
      </c>
      <c r="C500" s="21" t="s">
        <v>1</v>
      </c>
      <c r="D500" s="21" t="s">
        <v>1</v>
      </c>
      <c r="E500" s="21" t="s">
        <v>1</v>
      </c>
      <c r="F500" s="21" t="s">
        <v>1</v>
      </c>
      <c r="G500" s="21"/>
      <c r="H500" s="21"/>
      <c r="I500" s="22" t="s">
        <v>1</v>
      </c>
      <c r="J500" s="23" t="s">
        <v>1</v>
      </c>
      <c r="K500" s="21" t="s">
        <v>1</v>
      </c>
      <c r="L500" s="22" t="s">
        <v>1</v>
      </c>
      <c r="M500" s="23" t="s">
        <v>1</v>
      </c>
    </row>
    <row r="501" spans="1:13" ht="12">
      <c r="A501" s="11">
        <v>1</v>
      </c>
      <c r="C501" s="12" t="s">
        <v>36</v>
      </c>
      <c r="E501" s="11">
        <v>1</v>
      </c>
      <c r="F501" s="13"/>
      <c r="G501" s="109">
        <v>1</v>
      </c>
      <c r="H501" s="2">
        <v>29231</v>
      </c>
      <c r="I501" s="109">
        <f>J501/67600</f>
        <v>0.8589792899408284</v>
      </c>
      <c r="J501" s="1">
        <f>55427+2640</f>
        <v>58067</v>
      </c>
      <c r="K501" s="110"/>
      <c r="L501" s="109">
        <v>0</v>
      </c>
      <c r="M501" s="1"/>
    </row>
    <row r="502" spans="1:13" ht="12">
      <c r="A502" s="11">
        <v>2</v>
      </c>
      <c r="C502" s="12" t="s">
        <v>37</v>
      </c>
      <c r="E502" s="11">
        <v>2</v>
      </c>
      <c r="F502" s="13"/>
      <c r="G502" s="109"/>
      <c r="H502" s="2">
        <v>8040</v>
      </c>
      <c r="I502" s="109"/>
      <c r="J502" s="1">
        <f>1967091+33663-1953995-33006</f>
        <v>13753</v>
      </c>
      <c r="K502" s="110"/>
      <c r="L502" s="109"/>
      <c r="M502" s="1"/>
    </row>
    <row r="503" spans="1:13" ht="12">
      <c r="A503" s="11">
        <v>3</v>
      </c>
      <c r="C503" s="12" t="s">
        <v>34</v>
      </c>
      <c r="E503" s="11">
        <v>3</v>
      </c>
      <c r="F503" s="13"/>
      <c r="G503" s="109"/>
      <c r="H503" s="2"/>
      <c r="I503" s="109">
        <v>0</v>
      </c>
      <c r="J503" s="1"/>
      <c r="K503" s="110"/>
      <c r="L503" s="109">
        <v>0</v>
      </c>
      <c r="M503" s="1">
        <v>0</v>
      </c>
    </row>
    <row r="504" spans="1:13" ht="12">
      <c r="A504" s="11">
        <v>4</v>
      </c>
      <c r="C504" s="12" t="s">
        <v>23</v>
      </c>
      <c r="E504" s="11">
        <v>4</v>
      </c>
      <c r="F504" s="13"/>
      <c r="G504" s="109">
        <f>SUM(G501:G503)</f>
        <v>1</v>
      </c>
      <c r="H504" s="2">
        <f>SUM(H501:H503)</f>
        <v>37271</v>
      </c>
      <c r="I504" s="109">
        <f>SUM(I501:I503)</f>
        <v>0.8589792899408284</v>
      </c>
      <c r="J504" s="1">
        <f>SUM(J501:J503)</f>
        <v>71820</v>
      </c>
      <c r="K504" s="30"/>
      <c r="L504" s="109">
        <f>SUM(L501:L503)</f>
        <v>0</v>
      </c>
      <c r="M504" s="1">
        <f>SUM(M501:M503)</f>
        <v>0</v>
      </c>
    </row>
    <row r="505" spans="1:13" ht="12">
      <c r="A505" s="11">
        <v>5</v>
      </c>
      <c r="E505" s="11">
        <v>5</v>
      </c>
      <c r="F505" s="13"/>
      <c r="G505" s="109"/>
      <c r="H505" s="2"/>
      <c r="I505" s="109"/>
      <c r="J505" s="1"/>
      <c r="K505" s="30"/>
      <c r="L505" s="109"/>
      <c r="M505" s="1"/>
    </row>
    <row r="506" spans="1:13" ht="12">
      <c r="A506" s="11">
        <v>6</v>
      </c>
      <c r="C506" s="12" t="s">
        <v>24</v>
      </c>
      <c r="E506" s="11">
        <v>6</v>
      </c>
      <c r="F506" s="13"/>
      <c r="G506" s="109">
        <v>0</v>
      </c>
      <c r="H506" s="2"/>
      <c r="I506" s="109">
        <v>0</v>
      </c>
      <c r="J506" s="1"/>
      <c r="K506" s="110"/>
      <c r="L506" s="109">
        <v>0</v>
      </c>
      <c r="M506" s="1"/>
    </row>
    <row r="507" spans="1:13" ht="12">
      <c r="A507" s="11">
        <v>7</v>
      </c>
      <c r="C507" s="12" t="s">
        <v>25</v>
      </c>
      <c r="E507" s="11">
        <v>7</v>
      </c>
      <c r="F507" s="13"/>
      <c r="G507" s="109"/>
      <c r="H507" s="2"/>
      <c r="I507" s="109">
        <v>0</v>
      </c>
      <c r="J507" s="1"/>
      <c r="K507" s="110"/>
      <c r="L507" s="109">
        <v>0</v>
      </c>
      <c r="M507" s="1"/>
    </row>
    <row r="508" spans="1:13" ht="12">
      <c r="A508" s="11">
        <v>8</v>
      </c>
      <c r="C508" s="12" t="s">
        <v>26</v>
      </c>
      <c r="E508" s="11">
        <v>8</v>
      </c>
      <c r="F508" s="13"/>
      <c r="G508" s="109"/>
      <c r="H508" s="2"/>
      <c r="I508" s="109"/>
      <c r="J508" s="1">
        <v>0</v>
      </c>
      <c r="K508" s="110"/>
      <c r="L508" s="109"/>
      <c r="M508" s="1"/>
    </row>
    <row r="509" spans="1:13" ht="12">
      <c r="A509" s="11">
        <v>9</v>
      </c>
      <c r="C509" s="12" t="s">
        <v>27</v>
      </c>
      <c r="E509" s="11">
        <v>9</v>
      </c>
      <c r="F509" s="13"/>
      <c r="G509" s="109">
        <f>SUM(G506:G508)</f>
        <v>0</v>
      </c>
      <c r="H509" s="2">
        <f>SUM(H506:H508)</f>
        <v>0</v>
      </c>
      <c r="I509" s="109">
        <f>SUM(I506:I508)</f>
        <v>0</v>
      </c>
      <c r="J509" s="1">
        <f>SUM(J506:J508)</f>
        <v>0</v>
      </c>
      <c r="K509" s="31"/>
      <c r="L509" s="109">
        <f>SUM(L506:L508)</f>
        <v>0</v>
      </c>
      <c r="M509" s="1">
        <f>SUM(M506:M508)</f>
        <v>0</v>
      </c>
    </row>
    <row r="510" spans="1:13" ht="12">
      <c r="A510" s="11">
        <v>10</v>
      </c>
      <c r="E510" s="11">
        <v>10</v>
      </c>
      <c r="F510" s="13"/>
      <c r="G510" s="109"/>
      <c r="H510" s="2"/>
      <c r="I510" s="82"/>
      <c r="J510" s="1"/>
      <c r="K510" s="30"/>
      <c r="L510" s="82"/>
      <c r="M510" s="1"/>
    </row>
    <row r="511" spans="1:13" ht="12">
      <c r="A511" s="11">
        <v>11</v>
      </c>
      <c r="C511" s="12" t="s">
        <v>28</v>
      </c>
      <c r="E511" s="11">
        <v>11</v>
      </c>
      <c r="G511" s="111">
        <f>SUM(G504+G509)</f>
        <v>1</v>
      </c>
      <c r="H511" s="65">
        <f>SUM(H504+H509)</f>
        <v>37271</v>
      </c>
      <c r="I511" s="111">
        <f>SUM(I504+I509)</f>
        <v>0.8589792899408284</v>
      </c>
      <c r="J511" s="100">
        <f>SUM(J504+J509)</f>
        <v>71820</v>
      </c>
      <c r="K511" s="30"/>
      <c r="L511" s="111">
        <f>SUM(L504+L509)</f>
        <v>0</v>
      </c>
      <c r="M511" s="100">
        <f>SUM(M504+M509)</f>
        <v>0</v>
      </c>
    </row>
    <row r="512" spans="1:13" ht="12">
      <c r="A512" s="11">
        <v>12</v>
      </c>
      <c r="E512" s="11">
        <v>12</v>
      </c>
      <c r="G512" s="111"/>
      <c r="H512" s="65"/>
      <c r="I512" s="111"/>
      <c r="J512" s="100"/>
      <c r="K512" s="30"/>
      <c r="L512" s="111"/>
      <c r="M512" s="100"/>
    </row>
    <row r="513" spans="1:13" ht="12">
      <c r="A513" s="11">
        <v>13</v>
      </c>
      <c r="C513" s="12" t="s">
        <v>29</v>
      </c>
      <c r="E513" s="11">
        <v>13</v>
      </c>
      <c r="F513" s="13"/>
      <c r="G513" s="109"/>
      <c r="H513" s="2"/>
      <c r="I513" s="109"/>
      <c r="J513" s="1"/>
      <c r="K513" s="110"/>
      <c r="L513" s="109"/>
      <c r="M513" s="1">
        <v>0</v>
      </c>
    </row>
    <row r="514" spans="1:13" ht="12">
      <c r="A514" s="11">
        <v>14</v>
      </c>
      <c r="E514" s="11">
        <v>14</v>
      </c>
      <c r="F514" s="13"/>
      <c r="G514" s="109"/>
      <c r="H514" s="2"/>
      <c r="I514" s="109"/>
      <c r="J514" s="1"/>
      <c r="K514" s="110"/>
      <c r="L514" s="109"/>
      <c r="M514" s="1"/>
    </row>
    <row r="515" spans="1:13" ht="12">
      <c r="A515" s="11">
        <v>15</v>
      </c>
      <c r="C515" s="12" t="s">
        <v>30</v>
      </c>
      <c r="E515" s="11">
        <v>15</v>
      </c>
      <c r="F515" s="13"/>
      <c r="G515" s="109"/>
      <c r="H515" s="2">
        <v>616</v>
      </c>
      <c r="I515" s="109"/>
      <c r="J515" s="1">
        <f>2504</f>
        <v>2504</v>
      </c>
      <c r="K515" s="110"/>
      <c r="L515" s="109"/>
      <c r="M515" s="1">
        <v>0</v>
      </c>
    </row>
    <row r="516" spans="1:13" ht="12">
      <c r="A516" s="11">
        <v>16</v>
      </c>
      <c r="C516" s="12" t="s">
        <v>31</v>
      </c>
      <c r="E516" s="11">
        <v>16</v>
      </c>
      <c r="F516" s="13"/>
      <c r="G516" s="109"/>
      <c r="H516" s="2">
        <v>7487</v>
      </c>
      <c r="I516" s="109"/>
      <c r="J516" s="1">
        <f>8870</f>
        <v>8870</v>
      </c>
      <c r="K516" s="110"/>
      <c r="L516" s="109"/>
      <c r="M516" s="1"/>
    </row>
    <row r="517" spans="1:13" ht="12">
      <c r="A517" s="11"/>
      <c r="C517" s="12"/>
      <c r="E517" s="11"/>
      <c r="G517" s="109"/>
      <c r="H517" s="2"/>
      <c r="I517" s="109"/>
      <c r="J517" s="1"/>
      <c r="K517" s="110"/>
      <c r="L517" s="109"/>
      <c r="M517" s="1"/>
    </row>
    <row r="518" spans="1:13" ht="12">
      <c r="A518" s="11">
        <v>17</v>
      </c>
      <c r="C518" s="12" t="s">
        <v>32</v>
      </c>
      <c r="E518" s="11">
        <v>17</v>
      </c>
      <c r="G518" s="109"/>
      <c r="H518" s="2">
        <v>0</v>
      </c>
      <c r="I518" s="109"/>
      <c r="J518" s="1"/>
      <c r="K518" s="110"/>
      <c r="L518" s="109"/>
      <c r="M518" s="1">
        <v>0</v>
      </c>
    </row>
    <row r="519" spans="1:13" ht="12">
      <c r="A519" s="11">
        <v>18</v>
      </c>
      <c r="C519" s="12"/>
      <c r="E519" s="11">
        <v>18</v>
      </c>
      <c r="G519" s="109"/>
      <c r="H519" s="2"/>
      <c r="I519" s="109"/>
      <c r="J519" s="98"/>
      <c r="K519" s="13"/>
      <c r="L519" s="109"/>
      <c r="M519" s="98"/>
    </row>
    <row r="520" spans="1:13" ht="12">
      <c r="A520" s="11">
        <v>19</v>
      </c>
      <c r="C520" s="12"/>
      <c r="E520" s="11">
        <v>19</v>
      </c>
      <c r="G520" s="109"/>
      <c r="H520" s="2"/>
      <c r="I520" s="109"/>
      <c r="J520" s="98"/>
      <c r="K520" s="13"/>
      <c r="L520" s="109"/>
      <c r="M520" s="98"/>
    </row>
    <row r="521" spans="1:13" ht="12">
      <c r="A521" s="11">
        <v>20</v>
      </c>
      <c r="C521" s="12"/>
      <c r="E521" s="11">
        <v>20</v>
      </c>
      <c r="G521" s="109"/>
      <c r="H521" s="2"/>
      <c r="I521" s="109"/>
      <c r="J521" s="98"/>
      <c r="K521" s="13"/>
      <c r="L521" s="109"/>
      <c r="M521" s="98"/>
    </row>
    <row r="522" spans="1:13" ht="12">
      <c r="A522" s="11">
        <v>21</v>
      </c>
      <c r="C522" s="12"/>
      <c r="E522" s="11">
        <v>21</v>
      </c>
      <c r="G522" s="109"/>
      <c r="H522" s="2"/>
      <c r="I522" s="109"/>
      <c r="J522" s="98"/>
      <c r="K522" s="13"/>
      <c r="L522" s="109"/>
      <c r="M522" s="98"/>
    </row>
    <row r="523" spans="1:13" ht="12">
      <c r="A523" s="11">
        <v>22</v>
      </c>
      <c r="C523" s="12"/>
      <c r="E523" s="11">
        <v>22</v>
      </c>
      <c r="G523" s="109"/>
      <c r="H523" s="2"/>
      <c r="I523" s="109"/>
      <c r="J523" s="98"/>
      <c r="K523" s="13"/>
      <c r="L523" s="109"/>
      <c r="M523" s="98"/>
    </row>
    <row r="524" spans="1:13" ht="12">
      <c r="A524" s="11">
        <v>23</v>
      </c>
      <c r="C524" s="12"/>
      <c r="E524" s="11">
        <v>23</v>
      </c>
      <c r="G524" s="109"/>
      <c r="H524" s="2"/>
      <c r="I524" s="109"/>
      <c r="J524" s="98"/>
      <c r="K524" s="13"/>
      <c r="L524" s="109"/>
      <c r="M524" s="98"/>
    </row>
    <row r="525" spans="1:13" ht="12">
      <c r="A525" s="11">
        <v>24</v>
      </c>
      <c r="C525" s="12"/>
      <c r="E525" s="11">
        <v>24</v>
      </c>
      <c r="G525" s="109"/>
      <c r="H525" s="2"/>
      <c r="I525" s="109"/>
      <c r="J525" s="98"/>
      <c r="K525" s="13"/>
      <c r="L525" s="109"/>
      <c r="M525" s="98"/>
    </row>
    <row r="526" spans="1:13" ht="12">
      <c r="A526" s="11"/>
      <c r="E526" s="11"/>
      <c r="F526" s="112" t="s">
        <v>203</v>
      </c>
      <c r="G526" s="113"/>
      <c r="H526" s="13"/>
      <c r="I526" s="113"/>
      <c r="J526" s="15"/>
      <c r="K526" s="13"/>
      <c r="L526" s="113"/>
      <c r="M526" s="23" t="s">
        <v>1</v>
      </c>
    </row>
    <row r="527" spans="1:13" ht="13.5" customHeight="1">
      <c r="A527" s="11">
        <v>25</v>
      </c>
      <c r="C527" s="12" t="s">
        <v>235</v>
      </c>
      <c r="E527" s="11">
        <v>25</v>
      </c>
      <c r="G527" s="111">
        <f>SUM(G511:G520)</f>
        <v>1</v>
      </c>
      <c r="H527" s="100">
        <f>SUM(H511:H520)</f>
        <v>45374</v>
      </c>
      <c r="I527" s="111">
        <f>SUM(I511:I520)</f>
        <v>0.8589792899408284</v>
      </c>
      <c r="J527" s="100">
        <f>SUM(J511:J520)</f>
        <v>83194</v>
      </c>
      <c r="K527" s="30"/>
      <c r="L527" s="111">
        <f>SUM(L511:L520)</f>
        <v>0</v>
      </c>
      <c r="M527" s="100">
        <f>SUM(M511:M520)</f>
        <v>0</v>
      </c>
    </row>
    <row r="528" spans="5:13" ht="12">
      <c r="E528" s="50"/>
      <c r="F528" s="90" t="s">
        <v>1</v>
      </c>
      <c r="G528" s="90"/>
      <c r="H528" s="90"/>
      <c r="I528" s="22" t="s">
        <v>1</v>
      </c>
      <c r="J528" s="23" t="s">
        <v>1</v>
      </c>
      <c r="K528" s="90" t="s">
        <v>1</v>
      </c>
      <c r="L528" s="22" t="s">
        <v>1</v>
      </c>
      <c r="M528" s="23" t="s">
        <v>1</v>
      </c>
    </row>
    <row r="529" spans="1:13" ht="12">
      <c r="A529" s="12"/>
      <c r="J529" s="55"/>
      <c r="M529" s="55"/>
    </row>
    <row r="530" spans="10:13" ht="12">
      <c r="J530" s="55"/>
      <c r="M530" s="55"/>
    </row>
    <row r="531" spans="1:13" s="46" customFormat="1" ht="12">
      <c r="A531" s="19" t="str">
        <f>$A$36</f>
        <v>Institution No.:  GFE</v>
      </c>
      <c r="E531" s="51"/>
      <c r="I531" s="52"/>
      <c r="J531" s="53"/>
      <c r="L531" s="52"/>
      <c r="M531" s="18" t="s">
        <v>35</v>
      </c>
    </row>
    <row r="532" spans="1:13" s="46" customFormat="1" ht="12">
      <c r="A532" s="274" t="s">
        <v>150</v>
      </c>
      <c r="B532" s="274"/>
      <c r="C532" s="274"/>
      <c r="D532" s="274"/>
      <c r="E532" s="274"/>
      <c r="F532" s="274"/>
      <c r="G532" s="274"/>
      <c r="H532" s="274"/>
      <c r="I532" s="274"/>
      <c r="J532" s="274"/>
      <c r="K532" s="274"/>
      <c r="L532" s="274"/>
      <c r="M532" s="274"/>
    </row>
    <row r="533" spans="1:13" ht="12">
      <c r="A533" s="19" t="s">
        <v>664</v>
      </c>
      <c r="C533" s="7" t="s">
        <v>666</v>
      </c>
      <c r="I533" s="103"/>
      <c r="J533" s="86"/>
      <c r="L533" s="17"/>
      <c r="M533" s="20" t="str">
        <f>$M$3</f>
        <v>Date: 10/1/2008</v>
      </c>
    </row>
    <row r="534" spans="1:13" ht="12">
      <c r="A534" s="21" t="s">
        <v>1</v>
      </c>
      <c r="B534" s="21" t="s">
        <v>1</v>
      </c>
      <c r="C534" s="21" t="s">
        <v>1</v>
      </c>
      <c r="D534" s="21" t="s">
        <v>1</v>
      </c>
      <c r="E534" s="21" t="s">
        <v>1</v>
      </c>
      <c r="F534" s="21" t="s">
        <v>1</v>
      </c>
      <c r="G534" s="21"/>
      <c r="H534" s="21"/>
      <c r="I534" s="22" t="s">
        <v>1</v>
      </c>
      <c r="J534" s="23" t="s">
        <v>1</v>
      </c>
      <c r="K534" s="21" t="s">
        <v>1</v>
      </c>
      <c r="L534" s="22" t="s">
        <v>1</v>
      </c>
      <c r="M534" s="23" t="s">
        <v>1</v>
      </c>
    </row>
    <row r="535" spans="1:13" ht="12">
      <c r="A535" s="24" t="s">
        <v>2</v>
      </c>
      <c r="E535" s="24" t="s">
        <v>2</v>
      </c>
      <c r="F535" s="25"/>
      <c r="G535" s="26"/>
      <c r="H535" s="25" t="s">
        <v>249</v>
      </c>
      <c r="I535" s="26"/>
      <c r="J535" s="27" t="s">
        <v>251</v>
      </c>
      <c r="K535" s="25"/>
      <c r="L535" s="26"/>
      <c r="M535" s="27" t="s">
        <v>260</v>
      </c>
    </row>
    <row r="536" spans="1:13" ht="12">
      <c r="A536" s="24" t="s">
        <v>4</v>
      </c>
      <c r="C536" s="28" t="s">
        <v>20</v>
      </c>
      <c r="E536" s="24" t="s">
        <v>4</v>
      </c>
      <c r="F536" s="25"/>
      <c r="G536" s="26" t="s">
        <v>6</v>
      </c>
      <c r="H536" s="27" t="s">
        <v>7</v>
      </c>
      <c r="I536" s="26" t="s">
        <v>6</v>
      </c>
      <c r="J536" s="27" t="s">
        <v>7</v>
      </c>
      <c r="K536" s="25"/>
      <c r="L536" s="26" t="s">
        <v>6</v>
      </c>
      <c r="M536" s="27" t="s">
        <v>8</v>
      </c>
    </row>
    <row r="537" spans="1:13" ht="12">
      <c r="A537" s="21" t="s">
        <v>1</v>
      </c>
      <c r="B537" s="21" t="s">
        <v>1</v>
      </c>
      <c r="C537" s="21" t="s">
        <v>1</v>
      </c>
      <c r="D537" s="21" t="s">
        <v>1</v>
      </c>
      <c r="E537" s="21" t="s">
        <v>1</v>
      </c>
      <c r="F537" s="21" t="s">
        <v>1</v>
      </c>
      <c r="G537" s="21"/>
      <c r="H537" s="21"/>
      <c r="I537" s="22" t="s">
        <v>1</v>
      </c>
      <c r="J537" s="23" t="s">
        <v>1</v>
      </c>
      <c r="K537" s="21" t="s">
        <v>1</v>
      </c>
      <c r="L537" s="22" t="s">
        <v>1</v>
      </c>
      <c r="M537" s="23" t="s">
        <v>1</v>
      </c>
    </row>
    <row r="538" spans="1:13" ht="12">
      <c r="A538" s="11">
        <v>1</v>
      </c>
      <c r="C538" s="12" t="s">
        <v>36</v>
      </c>
      <c r="E538" s="11">
        <v>1</v>
      </c>
      <c r="F538" s="13"/>
      <c r="G538" s="67">
        <v>0.91</v>
      </c>
      <c r="H538" s="2">
        <v>99430</v>
      </c>
      <c r="I538" s="186">
        <f>J538/52130</f>
        <v>1.3217533090351046</v>
      </c>
      <c r="J538" s="2">
        <f>33634+35269</f>
        <v>68903</v>
      </c>
      <c r="K538" s="110"/>
      <c r="L538" s="67">
        <v>0</v>
      </c>
      <c r="M538" s="1"/>
    </row>
    <row r="539" spans="1:13" ht="12">
      <c r="A539" s="11">
        <v>2</v>
      </c>
      <c r="C539" s="12" t="s">
        <v>37</v>
      </c>
      <c r="E539" s="11">
        <v>2</v>
      </c>
      <c r="F539" s="13"/>
      <c r="G539" s="67"/>
      <c r="H539" s="2">
        <v>26030</v>
      </c>
      <c r="I539" s="186"/>
      <c r="J539" s="2">
        <f>242084+32822-232901-25466</f>
        <v>16539</v>
      </c>
      <c r="K539" s="110"/>
      <c r="L539" s="67"/>
      <c r="M539" s="2"/>
    </row>
    <row r="540" spans="1:13" ht="12">
      <c r="A540" s="11">
        <v>3</v>
      </c>
      <c r="E540" s="11">
        <v>3</v>
      </c>
      <c r="F540" s="13"/>
      <c r="G540" s="67"/>
      <c r="H540" s="2"/>
      <c r="I540" s="186"/>
      <c r="J540" s="2"/>
      <c r="K540" s="110"/>
      <c r="L540" s="67"/>
      <c r="M540" s="2"/>
    </row>
    <row r="541" spans="1:13" ht="12">
      <c r="A541" s="11">
        <v>4</v>
      </c>
      <c r="C541" s="12" t="s">
        <v>23</v>
      </c>
      <c r="E541" s="11">
        <v>4</v>
      </c>
      <c r="F541" s="13"/>
      <c r="G541" s="67">
        <f>SUM(G538:G540)</f>
        <v>0.91</v>
      </c>
      <c r="H541" s="2">
        <f>SUM(H538:H540)</f>
        <v>125460</v>
      </c>
      <c r="I541" s="186">
        <f>SUM(I538:I540)</f>
        <v>1.3217533090351046</v>
      </c>
      <c r="J541" s="2">
        <f>SUM(J538:J540)</f>
        <v>85442</v>
      </c>
      <c r="K541" s="30"/>
      <c r="L541" s="67">
        <f>SUM(L538:L540)</f>
        <v>0</v>
      </c>
      <c r="M541" s="2">
        <f>SUM(M538:M540)</f>
        <v>0</v>
      </c>
    </row>
    <row r="542" spans="1:13" ht="12">
      <c r="A542" s="11">
        <v>5</v>
      </c>
      <c r="E542" s="11">
        <v>5</v>
      </c>
      <c r="F542" s="13"/>
      <c r="G542" s="67"/>
      <c r="H542" s="2"/>
      <c r="I542" s="186"/>
      <c r="J542" s="2"/>
      <c r="K542" s="30"/>
      <c r="L542" s="67"/>
      <c r="M542" s="2"/>
    </row>
    <row r="543" spans="1:13" ht="12">
      <c r="A543" s="11">
        <v>6</v>
      </c>
      <c r="E543" s="11">
        <v>6</v>
      </c>
      <c r="F543" s="13"/>
      <c r="G543" s="67"/>
      <c r="H543" s="2"/>
      <c r="I543" s="186"/>
      <c r="J543" s="2"/>
      <c r="K543" s="30"/>
      <c r="L543" s="67"/>
      <c r="M543" s="2"/>
    </row>
    <row r="544" spans="1:13" ht="12">
      <c r="A544" s="11">
        <v>7</v>
      </c>
      <c r="C544" s="12" t="s">
        <v>25</v>
      </c>
      <c r="E544" s="11">
        <v>7</v>
      </c>
      <c r="F544" s="13"/>
      <c r="G544" s="67">
        <v>0</v>
      </c>
      <c r="H544" s="2">
        <v>12782</v>
      </c>
      <c r="I544" s="186">
        <v>0</v>
      </c>
      <c r="J544" s="2">
        <f>17065</f>
        <v>17065</v>
      </c>
      <c r="K544" s="110"/>
      <c r="L544" s="67">
        <v>0</v>
      </c>
      <c r="M544" s="2">
        <v>0</v>
      </c>
    </row>
    <row r="545" spans="1:13" ht="12">
      <c r="A545" s="11">
        <v>8</v>
      </c>
      <c r="C545" s="12" t="s">
        <v>26</v>
      </c>
      <c r="E545" s="11">
        <v>8</v>
      </c>
      <c r="F545" s="13"/>
      <c r="G545" s="67"/>
      <c r="H545" s="2">
        <v>2749</v>
      </c>
      <c r="I545" s="186"/>
      <c r="J545" s="2">
        <f>113672-109815</f>
        <v>3857</v>
      </c>
      <c r="K545" s="110"/>
      <c r="L545" s="67"/>
      <c r="M545" s="2">
        <v>0</v>
      </c>
    </row>
    <row r="546" spans="1:13" ht="12">
      <c r="A546" s="11">
        <v>9</v>
      </c>
      <c r="C546" s="12" t="s">
        <v>27</v>
      </c>
      <c r="E546" s="11">
        <v>9</v>
      </c>
      <c r="F546" s="13"/>
      <c r="G546" s="67">
        <f>SUM(G544:G545)</f>
        <v>0</v>
      </c>
      <c r="H546" s="2">
        <f>SUM(H544:H545)</f>
        <v>15531</v>
      </c>
      <c r="I546" s="186">
        <f>SUM(I544:I545)</f>
        <v>0</v>
      </c>
      <c r="J546" s="2">
        <f>SUM(J544:J545)</f>
        <v>20922</v>
      </c>
      <c r="K546" s="31"/>
      <c r="L546" s="67">
        <f>SUM(L544:L545)</f>
        <v>0</v>
      </c>
      <c r="M546" s="2">
        <f>SUM(M544:M545)</f>
        <v>0</v>
      </c>
    </row>
    <row r="547" spans="1:13" ht="12">
      <c r="A547" s="11">
        <v>10</v>
      </c>
      <c r="E547" s="11">
        <v>10</v>
      </c>
      <c r="F547" s="13"/>
      <c r="G547" s="67"/>
      <c r="H547" s="2"/>
      <c r="I547" s="186"/>
      <c r="J547" s="2"/>
      <c r="K547" s="30"/>
      <c r="L547" s="67"/>
      <c r="M547" s="2"/>
    </row>
    <row r="548" spans="1:13" ht="12">
      <c r="A548" s="11">
        <v>11</v>
      </c>
      <c r="C548" s="12" t="s">
        <v>28</v>
      </c>
      <c r="E548" s="11">
        <v>11</v>
      </c>
      <c r="G548" s="64">
        <f>SUM(G541,G546)</f>
        <v>0.91</v>
      </c>
      <c r="H548" s="65">
        <f>SUM(H546,H541)</f>
        <v>140991</v>
      </c>
      <c r="I548" s="187">
        <f>SUM(I541,I546)</f>
        <v>1.3217533090351046</v>
      </c>
      <c r="J548" s="65">
        <f>SUM(J546,J541)</f>
        <v>106364</v>
      </c>
      <c r="K548" s="31"/>
      <c r="L548" s="64">
        <f>SUM(L541,L546)</f>
        <v>0</v>
      </c>
      <c r="M548" s="65">
        <f>SUM(M546,M541)</f>
        <v>0</v>
      </c>
    </row>
    <row r="549" spans="1:13" ht="12">
      <c r="A549" s="11">
        <v>12</v>
      </c>
      <c r="E549" s="11">
        <v>12</v>
      </c>
      <c r="G549" s="64"/>
      <c r="H549" s="65"/>
      <c r="I549" s="187"/>
      <c r="J549" s="65"/>
      <c r="K549" s="30"/>
      <c r="L549" s="64"/>
      <c r="M549" s="65"/>
    </row>
    <row r="550" spans="1:13" ht="12">
      <c r="A550" s="11">
        <v>13</v>
      </c>
      <c r="C550" s="12" t="s">
        <v>38</v>
      </c>
      <c r="E550" s="11">
        <v>13</v>
      </c>
      <c r="F550" s="13"/>
      <c r="G550" s="67"/>
      <c r="H550" s="2"/>
      <c r="I550" s="114"/>
      <c r="J550" s="2">
        <f>370+7</f>
        <v>377</v>
      </c>
      <c r="K550" s="110"/>
      <c r="L550" s="67"/>
      <c r="M550" s="2"/>
    </row>
    <row r="551" spans="1:13" ht="12">
      <c r="A551" s="11">
        <v>14</v>
      </c>
      <c r="E551" s="11">
        <v>14</v>
      </c>
      <c r="F551" s="13"/>
      <c r="G551" s="67"/>
      <c r="H551" s="2"/>
      <c r="I551" s="114"/>
      <c r="J551" s="2"/>
      <c r="K551" s="110"/>
      <c r="L551" s="67"/>
      <c r="M551" s="2"/>
    </row>
    <row r="552" spans="1:13" ht="12">
      <c r="A552" s="11">
        <v>15</v>
      </c>
      <c r="C552" s="12" t="s">
        <v>30</v>
      </c>
      <c r="E552" s="11">
        <v>15</v>
      </c>
      <c r="F552" s="13"/>
      <c r="G552" s="67"/>
      <c r="H552" s="2">
        <v>246</v>
      </c>
      <c r="I552" s="114"/>
      <c r="J552" s="2"/>
      <c r="K552" s="110"/>
      <c r="L552" s="67"/>
      <c r="M552" s="2"/>
    </row>
    <row r="553" spans="1:13" ht="12">
      <c r="A553" s="11">
        <v>16</v>
      </c>
      <c r="C553" s="12" t="s">
        <v>31</v>
      </c>
      <c r="E553" s="11">
        <v>16</v>
      </c>
      <c r="F553" s="13"/>
      <c r="G553" s="67"/>
      <c r="H553" s="2">
        <v>6041</v>
      </c>
      <c r="I553" s="114"/>
      <c r="J553" s="2">
        <f>47</f>
        <v>47</v>
      </c>
      <c r="K553" s="110"/>
      <c r="L553" s="67"/>
      <c r="M553" s="2">
        <f>136686</f>
        <v>136686</v>
      </c>
    </row>
    <row r="554" spans="1:13" ht="12">
      <c r="A554" s="11"/>
      <c r="C554" s="12"/>
      <c r="E554" s="11"/>
      <c r="F554" s="13"/>
      <c r="G554" s="67"/>
      <c r="H554" s="2"/>
      <c r="I554" s="114"/>
      <c r="J554" s="2"/>
      <c r="K554" s="110"/>
      <c r="L554" s="67"/>
      <c r="M554" s="2"/>
    </row>
    <row r="555" spans="1:13" ht="12">
      <c r="A555" s="11">
        <v>17</v>
      </c>
      <c r="C555" s="12" t="s">
        <v>32</v>
      </c>
      <c r="E555" s="11">
        <v>17</v>
      </c>
      <c r="F555" s="13"/>
      <c r="G555" s="67"/>
      <c r="H555" s="2"/>
      <c r="I555" s="114"/>
      <c r="J555" s="2"/>
      <c r="K555" s="110"/>
      <c r="L555" s="67"/>
      <c r="M555" s="2">
        <v>0</v>
      </c>
    </row>
    <row r="556" spans="1:13" ht="12">
      <c r="A556" s="11">
        <v>18</v>
      </c>
      <c r="C556" s="12"/>
      <c r="E556" s="11">
        <v>18</v>
      </c>
      <c r="F556" s="13"/>
      <c r="G556" s="67"/>
      <c r="H556" s="2"/>
      <c r="I556" s="114"/>
      <c r="J556" s="2"/>
      <c r="K556" s="110"/>
      <c r="L556" s="67"/>
      <c r="M556" s="2"/>
    </row>
    <row r="557" spans="1:13" ht="12">
      <c r="A557" s="11">
        <v>19</v>
      </c>
      <c r="C557" s="12"/>
      <c r="E557" s="11">
        <v>19</v>
      </c>
      <c r="F557" s="13"/>
      <c r="G557" s="67"/>
      <c r="H557" s="2"/>
      <c r="I557" s="114"/>
      <c r="J557" s="2"/>
      <c r="K557" s="110"/>
      <c r="L557" s="67"/>
      <c r="M557" s="2"/>
    </row>
    <row r="558" spans="1:13" ht="12">
      <c r="A558" s="11">
        <v>20</v>
      </c>
      <c r="C558" s="12"/>
      <c r="E558" s="11">
        <v>20</v>
      </c>
      <c r="F558" s="13"/>
      <c r="G558" s="67"/>
      <c r="H558" s="2"/>
      <c r="I558" s="114"/>
      <c r="J558" s="2"/>
      <c r="K558" s="110"/>
      <c r="L558" s="67"/>
      <c r="M558" s="2"/>
    </row>
    <row r="559" spans="1:13" ht="12">
      <c r="A559" s="11">
        <v>21</v>
      </c>
      <c r="C559" s="12"/>
      <c r="E559" s="11">
        <v>21</v>
      </c>
      <c r="F559" s="13"/>
      <c r="G559" s="67"/>
      <c r="H559" s="2"/>
      <c r="I559" s="114"/>
      <c r="J559" s="2"/>
      <c r="K559" s="110"/>
      <c r="L559" s="67"/>
      <c r="M559" s="2"/>
    </row>
    <row r="560" spans="1:13" ht="12">
      <c r="A560" s="11">
        <v>22</v>
      </c>
      <c r="C560" s="12"/>
      <c r="E560" s="11">
        <v>22</v>
      </c>
      <c r="F560" s="13"/>
      <c r="G560" s="67"/>
      <c r="H560" s="2"/>
      <c r="I560" s="114"/>
      <c r="J560" s="2"/>
      <c r="K560" s="110"/>
      <c r="L560" s="67"/>
      <c r="M560" s="2"/>
    </row>
    <row r="561" spans="1:13" ht="12">
      <c r="A561" s="11">
        <v>23</v>
      </c>
      <c r="C561" s="12"/>
      <c r="E561" s="11">
        <v>23</v>
      </c>
      <c r="F561" s="13"/>
      <c r="G561" s="67"/>
      <c r="H561" s="2"/>
      <c r="I561" s="114"/>
      <c r="J561" s="2"/>
      <c r="K561" s="110"/>
      <c r="L561" s="67"/>
      <c r="M561" s="2"/>
    </row>
    <row r="562" spans="1:13" ht="12">
      <c r="A562" s="11">
        <v>24</v>
      </c>
      <c r="C562" s="12"/>
      <c r="E562" s="11">
        <v>24</v>
      </c>
      <c r="F562" s="13"/>
      <c r="G562" s="67"/>
      <c r="H562" s="2"/>
      <c r="I562" s="114"/>
      <c r="J562" s="2"/>
      <c r="K562" s="110"/>
      <c r="L562" s="67"/>
      <c r="M562" s="2"/>
    </row>
    <row r="563" spans="5:13" ht="12">
      <c r="E563" s="50"/>
      <c r="F563" s="90" t="s">
        <v>1</v>
      </c>
      <c r="G563" s="89"/>
      <c r="H563" s="90"/>
      <c r="I563" s="23" t="s">
        <v>1</v>
      </c>
      <c r="J563" s="23" t="s">
        <v>1</v>
      </c>
      <c r="K563" s="90" t="s">
        <v>1</v>
      </c>
      <c r="L563" s="23" t="s">
        <v>1</v>
      </c>
      <c r="M563" s="23" t="s">
        <v>1</v>
      </c>
    </row>
    <row r="564" spans="1:13" ht="13.5" customHeight="1">
      <c r="A564" s="11">
        <v>25</v>
      </c>
      <c r="C564" s="12" t="s">
        <v>236</v>
      </c>
      <c r="E564" s="11">
        <v>25</v>
      </c>
      <c r="G564" s="64">
        <f>SUM(G548:G555)</f>
        <v>0.91</v>
      </c>
      <c r="H564" s="65">
        <f>SUM(H548:H555)</f>
        <v>147278</v>
      </c>
      <c r="I564" s="115">
        <f>SUM(I548:I555)</f>
        <v>1.3217533090351046</v>
      </c>
      <c r="J564" s="65">
        <f>SUM(J548:J555)</f>
        <v>106788</v>
      </c>
      <c r="K564" s="65"/>
      <c r="L564" s="64">
        <f>SUM(L548:L555)</f>
        <v>0</v>
      </c>
      <c r="M564" s="65">
        <f>SUM(M548:M555)</f>
        <v>136686</v>
      </c>
    </row>
    <row r="565" spans="5:13" ht="12">
      <c r="E565" s="50"/>
      <c r="F565" s="90" t="s">
        <v>1</v>
      </c>
      <c r="G565" s="90"/>
      <c r="H565" s="90"/>
      <c r="I565" s="22" t="s">
        <v>1</v>
      </c>
      <c r="J565" s="23" t="s">
        <v>1</v>
      </c>
      <c r="K565" s="90" t="s">
        <v>1</v>
      </c>
      <c r="L565" s="22" t="s">
        <v>1</v>
      </c>
      <c r="M565" s="23" t="s">
        <v>1</v>
      </c>
    </row>
    <row r="566" spans="1:13" ht="12">
      <c r="A566" s="12"/>
      <c r="J566" s="55"/>
      <c r="M566" s="55"/>
    </row>
    <row r="567" spans="10:13" ht="12">
      <c r="J567" s="55"/>
      <c r="M567" s="55"/>
    </row>
    <row r="568" spans="1:13" s="46" customFormat="1" ht="12">
      <c r="A568" s="19" t="str">
        <f>$A$36</f>
        <v>Institution No.:  GFE</v>
      </c>
      <c r="E568" s="51"/>
      <c r="I568" s="52"/>
      <c r="J568" s="53"/>
      <c r="L568" s="52"/>
      <c r="M568" s="18" t="s">
        <v>39</v>
      </c>
    </row>
    <row r="569" spans="1:13" s="46" customFormat="1" ht="12">
      <c r="A569" s="274" t="s">
        <v>151</v>
      </c>
      <c r="B569" s="274"/>
      <c r="C569" s="274"/>
      <c r="D569" s="274"/>
      <c r="E569" s="274"/>
      <c r="F569" s="274"/>
      <c r="G569" s="274"/>
      <c r="H569" s="274"/>
      <c r="I569" s="274"/>
      <c r="J569" s="274"/>
      <c r="K569" s="274"/>
      <c r="L569" s="274"/>
      <c r="M569" s="274"/>
    </row>
    <row r="570" spans="1:13" ht="12">
      <c r="A570" s="19" t="s">
        <v>664</v>
      </c>
      <c r="C570" s="7" t="s">
        <v>666</v>
      </c>
      <c r="I570" s="103"/>
      <c r="J570" s="86"/>
      <c r="L570" s="17"/>
      <c r="M570" s="20" t="str">
        <f>$M$3</f>
        <v>Date: 10/1/2008</v>
      </c>
    </row>
    <row r="571" spans="1:13" ht="12">
      <c r="A571" s="21" t="s">
        <v>1</v>
      </c>
      <c r="B571" s="21" t="s">
        <v>1</v>
      </c>
      <c r="C571" s="21" t="s">
        <v>1</v>
      </c>
      <c r="D571" s="21" t="s">
        <v>1</v>
      </c>
      <c r="E571" s="21" t="s">
        <v>1</v>
      </c>
      <c r="F571" s="21" t="s">
        <v>1</v>
      </c>
      <c r="G571" s="21"/>
      <c r="H571" s="21"/>
      <c r="I571" s="22" t="s">
        <v>1</v>
      </c>
      <c r="J571" s="23" t="s">
        <v>1</v>
      </c>
      <c r="K571" s="21" t="s">
        <v>1</v>
      </c>
      <c r="L571" s="22" t="s">
        <v>1</v>
      </c>
      <c r="M571" s="23" t="s">
        <v>1</v>
      </c>
    </row>
    <row r="572" spans="1:13" ht="12">
      <c r="A572" s="24" t="s">
        <v>2</v>
      </c>
      <c r="E572" s="24" t="s">
        <v>2</v>
      </c>
      <c r="F572" s="25"/>
      <c r="G572" s="26"/>
      <c r="H572" s="25" t="s">
        <v>249</v>
      </c>
      <c r="I572" s="26"/>
      <c r="J572" s="27" t="s">
        <v>251</v>
      </c>
      <c r="K572" s="25"/>
      <c r="L572" s="26"/>
      <c r="M572" s="27" t="s">
        <v>260</v>
      </c>
    </row>
    <row r="573" spans="1:13" ht="12">
      <c r="A573" s="24" t="s">
        <v>4</v>
      </c>
      <c r="C573" s="28" t="s">
        <v>20</v>
      </c>
      <c r="E573" s="24" t="s">
        <v>4</v>
      </c>
      <c r="F573" s="25"/>
      <c r="G573" s="26" t="s">
        <v>6</v>
      </c>
      <c r="H573" s="27" t="s">
        <v>7</v>
      </c>
      <c r="I573" s="26" t="s">
        <v>6</v>
      </c>
      <c r="J573" s="27" t="s">
        <v>7</v>
      </c>
      <c r="K573" s="25"/>
      <c r="L573" s="26" t="s">
        <v>6</v>
      </c>
      <c r="M573" s="27" t="s">
        <v>8</v>
      </c>
    </row>
    <row r="574" spans="1:13" ht="12">
      <c r="A574" s="21" t="s">
        <v>1</v>
      </c>
      <c r="B574" s="21" t="s">
        <v>1</v>
      </c>
      <c r="C574" s="21" t="s">
        <v>1</v>
      </c>
      <c r="D574" s="21" t="s">
        <v>1</v>
      </c>
      <c r="E574" s="21" t="s">
        <v>1</v>
      </c>
      <c r="F574" s="21" t="s">
        <v>1</v>
      </c>
      <c r="G574" s="21"/>
      <c r="H574" s="21"/>
      <c r="I574" s="22" t="s">
        <v>1</v>
      </c>
      <c r="J574" s="23" t="s">
        <v>1</v>
      </c>
      <c r="K574" s="21" t="s">
        <v>1</v>
      </c>
      <c r="L574" s="116" t="s">
        <v>1</v>
      </c>
      <c r="M574" s="23" t="s">
        <v>1</v>
      </c>
    </row>
    <row r="575" spans="1:13" ht="12">
      <c r="A575" s="11">
        <v>1</v>
      </c>
      <c r="C575" s="12" t="s">
        <v>36</v>
      </c>
      <c r="E575" s="11">
        <v>1</v>
      </c>
      <c r="F575" s="13"/>
      <c r="G575" s="67">
        <v>76.5</v>
      </c>
      <c r="H575" s="1">
        <v>7519341</v>
      </c>
      <c r="I575" s="117">
        <f>J575/109843</f>
        <v>66.65103830011927</v>
      </c>
      <c r="J575" s="1">
        <f>2450804+133327+10250+4408773-712+195176+125973-96423+93982</f>
        <v>7321150</v>
      </c>
      <c r="K575" s="110"/>
      <c r="L575" s="117">
        <v>69.08</v>
      </c>
      <c r="M575" s="88">
        <f>3024337+50882+4891927</f>
        <v>7967146</v>
      </c>
    </row>
    <row r="576" spans="1:13" ht="12">
      <c r="A576" s="11">
        <v>2</v>
      </c>
      <c r="C576" s="12" t="s">
        <v>37</v>
      </c>
      <c r="E576" s="11">
        <v>2</v>
      </c>
      <c r="F576" s="13"/>
      <c r="G576" s="67"/>
      <c r="H576" s="1">
        <v>1569288</v>
      </c>
      <c r="I576" s="117"/>
      <c r="J576" s="1">
        <f>716566+13507+1003254+45461+29742-177141-137601-18024+17568</f>
        <v>1493332</v>
      </c>
      <c r="K576" s="110"/>
      <c r="L576" s="117"/>
      <c r="M576" s="88">
        <f>810565+3893+1075287</f>
        <v>1889745</v>
      </c>
    </row>
    <row r="577" spans="1:13" ht="12">
      <c r="A577" s="11">
        <v>3</v>
      </c>
      <c r="E577" s="11">
        <v>3</v>
      </c>
      <c r="F577" s="13"/>
      <c r="G577" s="67"/>
      <c r="H577" s="1"/>
      <c r="I577" s="117"/>
      <c r="J577" s="1"/>
      <c r="K577" s="110"/>
      <c r="L577" s="117"/>
      <c r="M577" s="257">
        <v>0</v>
      </c>
    </row>
    <row r="578" spans="1:13" ht="12">
      <c r="A578" s="11">
        <v>4</v>
      </c>
      <c r="C578" s="12" t="s">
        <v>23</v>
      </c>
      <c r="E578" s="11">
        <v>4</v>
      </c>
      <c r="F578" s="13"/>
      <c r="G578" s="67">
        <f>SUM(G575:G577)</f>
        <v>76.5</v>
      </c>
      <c r="H578" s="1">
        <f>SUM(H575:H577)</f>
        <v>9088629</v>
      </c>
      <c r="I578" s="117">
        <f>SUM(I575:I577)</f>
        <v>66.65103830011927</v>
      </c>
      <c r="J578" s="1">
        <f>SUM(J575:J577)</f>
        <v>8814482</v>
      </c>
      <c r="K578" s="30"/>
      <c r="L578" s="117">
        <f>SUM(L575:L577)</f>
        <v>69.08</v>
      </c>
      <c r="M578" s="59">
        <f>SUM(M575:M577)</f>
        <v>9856891</v>
      </c>
    </row>
    <row r="579" spans="1:13" ht="12">
      <c r="A579" s="11">
        <v>5</v>
      </c>
      <c r="E579" s="11">
        <v>5</v>
      </c>
      <c r="F579" s="13"/>
      <c r="G579" s="67"/>
      <c r="H579" s="1"/>
      <c r="I579" s="117"/>
      <c r="J579" s="1"/>
      <c r="K579" s="30"/>
      <c r="L579" s="117"/>
      <c r="M579" s="59"/>
    </row>
    <row r="580" spans="1:13" ht="12">
      <c r="A580" s="11">
        <v>6</v>
      </c>
      <c r="E580" s="11">
        <v>6</v>
      </c>
      <c r="F580" s="13"/>
      <c r="G580" s="67"/>
      <c r="H580" s="1"/>
      <c r="I580" s="117"/>
      <c r="J580" s="1"/>
      <c r="K580" s="30"/>
      <c r="L580" s="117"/>
      <c r="M580" s="59"/>
    </row>
    <row r="581" spans="1:13" ht="12">
      <c r="A581" s="11">
        <v>7</v>
      </c>
      <c r="C581" s="12" t="s">
        <v>25</v>
      </c>
      <c r="E581" s="11">
        <v>7</v>
      </c>
      <c r="F581" s="13"/>
      <c r="G581" s="67">
        <v>64.3</v>
      </c>
      <c r="H581" s="1">
        <v>3139607</v>
      </c>
      <c r="I581" s="117">
        <f>J581/53459</f>
        <v>58.65459511027142</v>
      </c>
      <c r="J581" s="1">
        <f>3078403+57557-13580+13236</f>
        <v>3135616</v>
      </c>
      <c r="K581" s="110"/>
      <c r="L581" s="117">
        <v>61.08</v>
      </c>
      <c r="M581" s="88">
        <v>3428987</v>
      </c>
    </row>
    <row r="582" spans="1:13" ht="12">
      <c r="A582" s="11">
        <v>8</v>
      </c>
      <c r="C582" s="12" t="s">
        <v>26</v>
      </c>
      <c r="E582" s="11">
        <v>8</v>
      </c>
      <c r="F582" s="13"/>
      <c r="G582" s="67"/>
      <c r="H582" s="1">
        <v>679391</v>
      </c>
      <c r="I582" s="117"/>
      <c r="J582" s="1">
        <f>857225+15950-128779-3696+3602</f>
        <v>744302</v>
      </c>
      <c r="K582" s="110"/>
      <c r="L582" s="117"/>
      <c r="M582" s="88">
        <v>974833</v>
      </c>
    </row>
    <row r="583" spans="1:13" ht="12">
      <c r="A583" s="11">
        <v>9</v>
      </c>
      <c r="C583" s="12" t="s">
        <v>27</v>
      </c>
      <c r="E583" s="11">
        <v>9</v>
      </c>
      <c r="F583" s="13"/>
      <c r="G583" s="67">
        <f>SUM(G581:G582)</f>
        <v>64.3</v>
      </c>
      <c r="H583" s="1">
        <f>SUM(H581:H582)</f>
        <v>3818998</v>
      </c>
      <c r="I583" s="117">
        <f>SUM(I581:I582)</f>
        <v>58.65459511027142</v>
      </c>
      <c r="J583" s="1">
        <f>SUM(J581:J582)</f>
        <v>3879918</v>
      </c>
      <c r="K583" s="30"/>
      <c r="L583" s="117">
        <f>SUM(L581:L582)</f>
        <v>61.08</v>
      </c>
      <c r="M583" s="59">
        <f>SUM(M581:M582)</f>
        <v>4403820</v>
      </c>
    </row>
    <row r="584" spans="1:13" ht="12">
      <c r="A584" s="11">
        <v>10</v>
      </c>
      <c r="E584" s="11">
        <v>10</v>
      </c>
      <c r="F584" s="13"/>
      <c r="G584" s="67"/>
      <c r="H584" s="1"/>
      <c r="I584" s="117"/>
      <c r="J584" s="1"/>
      <c r="K584" s="30"/>
      <c r="L584" s="117"/>
      <c r="M584" s="59"/>
    </row>
    <row r="585" spans="1:13" ht="12">
      <c r="A585" s="11">
        <v>11</v>
      </c>
      <c r="C585" s="12" t="s">
        <v>28</v>
      </c>
      <c r="E585" s="11">
        <v>11</v>
      </c>
      <c r="G585" s="64">
        <f>SUM(G578,G583)</f>
        <v>140.8</v>
      </c>
      <c r="H585" s="100">
        <f>SUM(H583,H578)</f>
        <v>12907627</v>
      </c>
      <c r="I585" s="118">
        <f>SUM(I578,I583)</f>
        <v>125.3056334103907</v>
      </c>
      <c r="J585" s="100">
        <f>SUM(J583,J578)</f>
        <v>12694400</v>
      </c>
      <c r="K585" s="30"/>
      <c r="L585" s="118">
        <f>SUM(L578,L583)</f>
        <v>130.16</v>
      </c>
      <c r="M585" s="59">
        <f>SUM(M583,M578)</f>
        <v>14260711</v>
      </c>
    </row>
    <row r="586" spans="1:13" ht="12">
      <c r="A586" s="11">
        <v>12</v>
      </c>
      <c r="E586" s="11">
        <v>12</v>
      </c>
      <c r="G586" s="64"/>
      <c r="H586" s="100"/>
      <c r="I586" s="118"/>
      <c r="J586" s="100"/>
      <c r="K586" s="30"/>
      <c r="L586" s="118"/>
      <c r="M586" s="59"/>
    </row>
    <row r="587" spans="1:13" ht="12">
      <c r="A587" s="11">
        <v>13</v>
      </c>
      <c r="C587" s="12" t="s">
        <v>38</v>
      </c>
      <c r="E587" s="11">
        <v>13</v>
      </c>
      <c r="F587" s="13"/>
      <c r="G587" s="67">
        <v>5.6</v>
      </c>
      <c r="H587" s="1">
        <v>157174</v>
      </c>
      <c r="I587" s="117">
        <f>J587/26954</f>
        <v>5.381984121095199</v>
      </c>
      <c r="J587" s="1">
        <f>47688+206+96886+286</f>
        <v>145066</v>
      </c>
      <c r="K587" s="110"/>
      <c r="L587" s="117">
        <v>1.29</v>
      </c>
      <c r="M587" s="88">
        <v>34776</v>
      </c>
    </row>
    <row r="588" spans="1:13" ht="12">
      <c r="A588" s="11">
        <v>14</v>
      </c>
      <c r="E588" s="11">
        <v>14</v>
      </c>
      <c r="F588" s="13"/>
      <c r="G588" s="67"/>
      <c r="H588" s="1"/>
      <c r="I588" s="117"/>
      <c r="J588" s="1"/>
      <c r="K588" s="110"/>
      <c r="L588" s="117"/>
      <c r="M588" s="88"/>
    </row>
    <row r="589" spans="1:13" ht="12">
      <c r="A589" s="11">
        <v>15</v>
      </c>
      <c r="C589" s="12" t="s">
        <v>30</v>
      </c>
      <c r="E589" s="11">
        <v>15</v>
      </c>
      <c r="F589" s="13"/>
      <c r="G589" s="67"/>
      <c r="H589" s="1">
        <v>148165</v>
      </c>
      <c r="I589" s="117"/>
      <c r="J589" s="1">
        <f>131879-198</f>
        <v>131681</v>
      </c>
      <c r="K589" s="110"/>
      <c r="L589" s="117"/>
      <c r="M589" s="88">
        <v>101980</v>
      </c>
    </row>
    <row r="590" spans="1:13" ht="12">
      <c r="A590" s="11">
        <v>16</v>
      </c>
      <c r="C590" s="12" t="s">
        <v>31</v>
      </c>
      <c r="E590" s="11">
        <v>16</v>
      </c>
      <c r="F590" s="13"/>
      <c r="G590" s="67"/>
      <c r="H590" s="1">
        <v>3368814</v>
      </c>
      <c r="I590" s="117"/>
      <c r="J590" s="1">
        <f>27855+2442461+46403-378864+2098129-1967494+1917684-46403-161878-68805+1240137</f>
        <v>5149225</v>
      </c>
      <c r="K590" s="110"/>
      <c r="L590" s="117"/>
      <c r="M590" s="88">
        <f>2514348+29406-370510-29406-160161+1704357+371917-300000+200651</f>
        <v>3960602</v>
      </c>
    </row>
    <row r="591" spans="1:13" ht="12">
      <c r="A591" s="11"/>
      <c r="C591" s="12"/>
      <c r="E591" s="11"/>
      <c r="F591" s="13"/>
      <c r="G591" s="67"/>
      <c r="H591" s="1"/>
      <c r="I591" s="117"/>
      <c r="J591" s="1"/>
      <c r="K591" s="110"/>
      <c r="L591" s="117"/>
      <c r="M591" s="88"/>
    </row>
    <row r="592" spans="1:13" ht="12">
      <c r="A592" s="11">
        <v>17</v>
      </c>
      <c r="C592" s="12" t="s">
        <v>32</v>
      </c>
      <c r="E592" s="11">
        <v>17</v>
      </c>
      <c r="F592" s="13"/>
      <c r="G592" s="67"/>
      <c r="H592" s="1"/>
      <c r="I592" s="117"/>
      <c r="J592" s="1"/>
      <c r="K592" s="110"/>
      <c r="L592" s="117"/>
      <c r="M592" s="88">
        <v>15000</v>
      </c>
    </row>
    <row r="593" spans="1:13" ht="12">
      <c r="A593" s="11">
        <v>18</v>
      </c>
      <c r="C593" s="12" t="s">
        <v>40</v>
      </c>
      <c r="E593" s="11">
        <v>18</v>
      </c>
      <c r="F593" s="13"/>
      <c r="G593" s="67"/>
      <c r="H593" s="1">
        <v>225108</v>
      </c>
      <c r="I593" s="117"/>
      <c r="J593" s="1">
        <f>1903248-1604429</f>
        <v>298819</v>
      </c>
      <c r="K593" s="110"/>
      <c r="L593" s="117"/>
      <c r="M593" s="88">
        <v>300000</v>
      </c>
    </row>
    <row r="594" spans="1:13" ht="12">
      <c r="A594" s="11">
        <v>19</v>
      </c>
      <c r="C594" s="12" t="s">
        <v>42</v>
      </c>
      <c r="E594" s="11">
        <v>19</v>
      </c>
      <c r="F594" s="13"/>
      <c r="G594" s="67"/>
      <c r="H594" s="1">
        <v>0</v>
      </c>
      <c r="I594" s="117"/>
      <c r="J594" s="1">
        <v>0</v>
      </c>
      <c r="K594" s="110"/>
      <c r="L594" s="117"/>
      <c r="M594" s="258"/>
    </row>
    <row r="595" spans="1:13" ht="12">
      <c r="A595" s="11">
        <v>20</v>
      </c>
      <c r="C595" s="12" t="s">
        <v>104</v>
      </c>
      <c r="E595" s="11">
        <v>20</v>
      </c>
      <c r="F595" s="13"/>
      <c r="G595" s="67"/>
      <c r="H595" s="1">
        <v>0</v>
      </c>
      <c r="I595" s="117"/>
      <c r="J595" s="1">
        <v>0</v>
      </c>
      <c r="K595" s="110"/>
      <c r="L595" s="117"/>
      <c r="M595" s="1">
        <v>0</v>
      </c>
    </row>
    <row r="596" spans="1:13" ht="12">
      <c r="A596" s="11">
        <v>21</v>
      </c>
      <c r="C596" s="12"/>
      <c r="E596" s="11">
        <v>21</v>
      </c>
      <c r="F596" s="13"/>
      <c r="G596" s="67"/>
      <c r="H596" s="1"/>
      <c r="I596" s="117"/>
      <c r="J596" s="1"/>
      <c r="K596" s="110"/>
      <c r="L596" s="117"/>
      <c r="M596" s="1"/>
    </row>
    <row r="597" spans="1:13" ht="12">
      <c r="A597" s="11">
        <v>22</v>
      </c>
      <c r="C597" s="12"/>
      <c r="E597" s="11">
        <v>22</v>
      </c>
      <c r="F597" s="13"/>
      <c r="G597" s="67"/>
      <c r="H597" s="1"/>
      <c r="I597" s="117"/>
      <c r="J597" s="1"/>
      <c r="K597" s="110"/>
      <c r="L597" s="117"/>
      <c r="M597" s="1"/>
    </row>
    <row r="598" spans="1:13" ht="12">
      <c r="A598" s="11">
        <v>23</v>
      </c>
      <c r="C598" s="12"/>
      <c r="E598" s="11">
        <v>23</v>
      </c>
      <c r="F598" s="13"/>
      <c r="G598" s="67"/>
      <c r="H598" s="1"/>
      <c r="I598" s="117"/>
      <c r="J598" s="1"/>
      <c r="K598" s="110"/>
      <c r="L598" s="117"/>
      <c r="M598" s="1"/>
    </row>
    <row r="599" spans="1:13" ht="12">
      <c r="A599" s="11">
        <v>24</v>
      </c>
      <c r="C599" s="12"/>
      <c r="E599" s="11">
        <v>24</v>
      </c>
      <c r="F599" s="13"/>
      <c r="G599" s="67"/>
      <c r="H599" s="1"/>
      <c r="I599" s="117"/>
      <c r="J599" s="1"/>
      <c r="K599" s="110"/>
      <c r="L599" s="117"/>
      <c r="M599" s="1"/>
    </row>
    <row r="600" spans="5:13" ht="12">
      <c r="E600" s="50"/>
      <c r="F600" s="90" t="s">
        <v>1</v>
      </c>
      <c r="G600" s="89"/>
      <c r="H600" s="90"/>
      <c r="I600" s="116" t="s">
        <v>1</v>
      </c>
      <c r="J600" s="23" t="s">
        <v>1</v>
      </c>
      <c r="K600" s="90" t="s">
        <v>1</v>
      </c>
      <c r="L600" s="116" t="s">
        <v>1</v>
      </c>
      <c r="M600" s="23" t="s">
        <v>1</v>
      </c>
    </row>
    <row r="601" spans="1:13" ht="13.5" customHeight="1">
      <c r="A601" s="11">
        <v>25</v>
      </c>
      <c r="C601" s="12" t="s">
        <v>237</v>
      </c>
      <c r="E601" s="11">
        <v>25</v>
      </c>
      <c r="G601" s="84">
        <f>SUM(G585:G598)</f>
        <v>146.4</v>
      </c>
      <c r="H601" s="100">
        <f>SUM(H585:H598)</f>
        <v>16806888</v>
      </c>
      <c r="I601" s="111">
        <f>SUM(I585:I598)</f>
        <v>130.6876175314859</v>
      </c>
      <c r="J601" s="100">
        <f>SUM(J585:J598)</f>
        <v>18419191</v>
      </c>
      <c r="K601" s="25"/>
      <c r="L601" s="111">
        <f>SUM(L585:L598)</f>
        <v>131.45</v>
      </c>
      <c r="M601" s="100">
        <f>SUM(M585:M598)</f>
        <v>18673069</v>
      </c>
    </row>
    <row r="602" spans="5:13" ht="12">
      <c r="E602" s="50"/>
      <c r="F602" s="90" t="s">
        <v>1</v>
      </c>
      <c r="G602" s="90"/>
      <c r="H602" s="90"/>
      <c r="I602" s="22"/>
      <c r="J602" s="23"/>
      <c r="K602" s="90"/>
      <c r="L602" s="22"/>
      <c r="M602" s="23"/>
    </row>
    <row r="603" ht="12">
      <c r="A603" s="12"/>
    </row>
    <row r="605" spans="1:13" s="46" customFormat="1" ht="12">
      <c r="A605" s="19" t="str">
        <f>$A$36</f>
        <v>Institution No.:  GFE</v>
      </c>
      <c r="E605" s="51"/>
      <c r="I605" s="52"/>
      <c r="J605" s="53"/>
      <c r="L605" s="52"/>
      <c r="M605" s="18" t="s">
        <v>41</v>
      </c>
    </row>
    <row r="606" spans="1:13" s="46" customFormat="1" ht="12">
      <c r="A606" s="274" t="s">
        <v>152</v>
      </c>
      <c r="B606" s="274"/>
      <c r="C606" s="274"/>
      <c r="D606" s="274"/>
      <c r="E606" s="274"/>
      <c r="F606" s="274"/>
      <c r="G606" s="274"/>
      <c r="H606" s="274"/>
      <c r="I606" s="274"/>
      <c r="J606" s="274"/>
      <c r="K606" s="274"/>
      <c r="L606" s="274"/>
      <c r="M606" s="274"/>
    </row>
    <row r="607" spans="1:13" ht="12">
      <c r="A607" s="19" t="s">
        <v>664</v>
      </c>
      <c r="C607" s="7" t="s">
        <v>666</v>
      </c>
      <c r="I607" s="103"/>
      <c r="J607" s="86"/>
      <c r="L607" s="17"/>
      <c r="M607" s="20" t="str">
        <f>$M$3</f>
        <v>Date: 10/1/2008</v>
      </c>
    </row>
    <row r="608" spans="1:13" ht="12">
      <c r="A608" s="21" t="s">
        <v>1</v>
      </c>
      <c r="B608" s="21" t="s">
        <v>1</v>
      </c>
      <c r="C608" s="21" t="s">
        <v>1</v>
      </c>
      <c r="D608" s="21" t="s">
        <v>1</v>
      </c>
      <c r="E608" s="21" t="s">
        <v>1</v>
      </c>
      <c r="F608" s="21" t="s">
        <v>1</v>
      </c>
      <c r="G608" s="21"/>
      <c r="H608" s="21"/>
      <c r="I608" s="22" t="s">
        <v>1</v>
      </c>
      <c r="J608" s="23" t="s">
        <v>1</v>
      </c>
      <c r="K608" s="21" t="s">
        <v>1</v>
      </c>
      <c r="L608" s="22" t="s">
        <v>1</v>
      </c>
      <c r="M608" s="23" t="s">
        <v>1</v>
      </c>
    </row>
    <row r="609" spans="1:13" ht="12">
      <c r="A609" s="24" t="s">
        <v>2</v>
      </c>
      <c r="E609" s="24" t="s">
        <v>2</v>
      </c>
      <c r="F609" s="25"/>
      <c r="G609" s="26"/>
      <c r="H609" s="25" t="s">
        <v>249</v>
      </c>
      <c r="I609" s="26"/>
      <c r="J609" s="27" t="s">
        <v>251</v>
      </c>
      <c r="K609" s="25"/>
      <c r="L609" s="26"/>
      <c r="M609" s="27" t="s">
        <v>260</v>
      </c>
    </row>
    <row r="610" spans="1:13" ht="12">
      <c r="A610" s="24" t="s">
        <v>4</v>
      </c>
      <c r="C610" s="28" t="s">
        <v>20</v>
      </c>
      <c r="E610" s="24" t="s">
        <v>4</v>
      </c>
      <c r="F610" s="25"/>
      <c r="G610" s="26" t="s">
        <v>6</v>
      </c>
      <c r="H610" s="27" t="s">
        <v>7</v>
      </c>
      <c r="I610" s="26" t="s">
        <v>6</v>
      </c>
      <c r="J610" s="27" t="s">
        <v>7</v>
      </c>
      <c r="K610" s="25"/>
      <c r="L610" s="26" t="s">
        <v>6</v>
      </c>
      <c r="M610" s="27" t="s">
        <v>8</v>
      </c>
    </row>
    <row r="611" spans="1:13" ht="12">
      <c r="A611" s="21" t="s">
        <v>1</v>
      </c>
      <c r="B611" s="21" t="s">
        <v>1</v>
      </c>
      <c r="C611" s="21" t="s">
        <v>1</v>
      </c>
      <c r="D611" s="21" t="s">
        <v>1</v>
      </c>
      <c r="E611" s="21" t="s">
        <v>1</v>
      </c>
      <c r="F611" s="21" t="s">
        <v>1</v>
      </c>
      <c r="G611" s="21"/>
      <c r="H611" s="21"/>
      <c r="I611" s="22" t="s">
        <v>1</v>
      </c>
      <c r="J611" s="23" t="s">
        <v>1</v>
      </c>
      <c r="K611" s="21" t="s">
        <v>1</v>
      </c>
      <c r="L611" s="22" t="s">
        <v>1</v>
      </c>
      <c r="M611" s="23" t="s">
        <v>1</v>
      </c>
    </row>
    <row r="612" spans="1:13" ht="12">
      <c r="A612" s="11">
        <v>1</v>
      </c>
      <c r="C612" s="12" t="s">
        <v>36</v>
      </c>
      <c r="E612" s="11">
        <v>1</v>
      </c>
      <c r="F612" s="13"/>
      <c r="G612" s="67">
        <v>4.3</v>
      </c>
      <c r="H612" s="2">
        <v>351285</v>
      </c>
      <c r="I612" s="67">
        <f>J612/68284</f>
        <v>5.204396344678109</v>
      </c>
      <c r="J612" s="2">
        <f>165+263043+92169</f>
        <v>355377</v>
      </c>
      <c r="K612" s="110"/>
      <c r="L612" s="67">
        <v>5.84</v>
      </c>
      <c r="M612" s="88">
        <f>249574+169685</f>
        <v>419259</v>
      </c>
    </row>
    <row r="613" spans="1:13" ht="12">
      <c r="A613" s="11">
        <v>2</v>
      </c>
      <c r="C613" s="12" t="s">
        <v>37</v>
      </c>
      <c r="E613" s="11">
        <v>2</v>
      </c>
      <c r="F613" s="13"/>
      <c r="G613" s="67"/>
      <c r="H613" s="2">
        <v>90317</v>
      </c>
      <c r="I613" s="67"/>
      <c r="J613" s="2">
        <f>17858+13+93080+22006-17858-28898</f>
        <v>86201</v>
      </c>
      <c r="K613" s="110"/>
      <c r="L613" s="67"/>
      <c r="M613" s="88">
        <f>1003+83408+46593</f>
        <v>131004</v>
      </c>
    </row>
    <row r="614" spans="1:13" ht="12">
      <c r="A614" s="11">
        <v>3</v>
      </c>
      <c r="E614" s="11">
        <v>3</v>
      </c>
      <c r="F614" s="13"/>
      <c r="G614" s="67"/>
      <c r="H614" s="2"/>
      <c r="I614" s="67"/>
      <c r="J614" s="2"/>
      <c r="K614" s="110"/>
      <c r="L614" s="67"/>
      <c r="M614" s="88"/>
    </row>
    <row r="615" spans="1:13" ht="12">
      <c r="A615" s="11">
        <v>4</v>
      </c>
      <c r="C615" s="12" t="s">
        <v>23</v>
      </c>
      <c r="E615" s="11">
        <v>4</v>
      </c>
      <c r="F615" s="13"/>
      <c r="G615" s="67">
        <f>SUM(G612:G614)</f>
        <v>4.3</v>
      </c>
      <c r="H615" s="2">
        <f>SUM(H612:H614)</f>
        <v>441602</v>
      </c>
      <c r="I615" s="67">
        <f>SUM(I612:I614)</f>
        <v>5.204396344678109</v>
      </c>
      <c r="J615" s="2">
        <f>SUM(J612:J614)</f>
        <v>441578</v>
      </c>
      <c r="K615" s="30"/>
      <c r="L615" s="67">
        <f>SUM(L612:L614)</f>
        <v>5.84</v>
      </c>
      <c r="M615" s="59">
        <f>SUM(M612:M613)</f>
        <v>550263</v>
      </c>
    </row>
    <row r="616" spans="1:13" ht="12">
      <c r="A616" s="11">
        <v>5</v>
      </c>
      <c r="E616" s="11">
        <v>5</v>
      </c>
      <c r="F616" s="13"/>
      <c r="G616" s="67"/>
      <c r="H616" s="2"/>
      <c r="I616" s="67"/>
      <c r="J616" s="2"/>
      <c r="K616" s="30"/>
      <c r="L616" s="67"/>
      <c r="M616" s="59"/>
    </row>
    <row r="617" spans="1:13" ht="12">
      <c r="A617" s="11">
        <v>6</v>
      </c>
      <c r="E617" s="11">
        <v>6</v>
      </c>
      <c r="F617" s="13"/>
      <c r="G617" s="67"/>
      <c r="H617" s="2"/>
      <c r="I617" s="67"/>
      <c r="J617" s="2"/>
      <c r="K617" s="30"/>
      <c r="L617" s="67"/>
      <c r="M617" s="59"/>
    </row>
    <row r="618" spans="1:13" ht="12">
      <c r="A618" s="11">
        <v>7</v>
      </c>
      <c r="C618" s="12" t="s">
        <v>25</v>
      </c>
      <c r="E618" s="11">
        <v>7</v>
      </c>
      <c r="F618" s="13"/>
      <c r="G618" s="67">
        <v>22.1</v>
      </c>
      <c r="H618" s="2">
        <v>1193197</v>
      </c>
      <c r="I618" s="67">
        <f>J618/51154</f>
        <v>7.644192047542714</v>
      </c>
      <c r="J618" s="2">
        <f>205381+185650</f>
        <v>391031</v>
      </c>
      <c r="K618" s="110"/>
      <c r="L618" s="67">
        <v>8.97</v>
      </c>
      <c r="M618" s="88">
        <f>241187+240833</f>
        <v>482020</v>
      </c>
    </row>
    <row r="619" spans="1:13" ht="12">
      <c r="A619" s="11">
        <v>8</v>
      </c>
      <c r="C619" s="12" t="s">
        <v>26</v>
      </c>
      <c r="E619" s="11">
        <v>8</v>
      </c>
      <c r="F619" s="13"/>
      <c r="G619" s="67"/>
      <c r="H619" s="2">
        <v>255782</v>
      </c>
      <c r="I619" s="67"/>
      <c r="J619" s="2">
        <f>96809+41074-44956</f>
        <v>92927</v>
      </c>
      <c r="K619" s="110"/>
      <c r="L619" s="67"/>
      <c r="M619" s="88">
        <f>51560+58900</f>
        <v>110460</v>
      </c>
    </row>
    <row r="620" spans="1:13" ht="12">
      <c r="A620" s="11">
        <v>9</v>
      </c>
      <c r="C620" s="12" t="s">
        <v>27</v>
      </c>
      <c r="E620" s="11">
        <v>9</v>
      </c>
      <c r="F620" s="13"/>
      <c r="G620" s="67">
        <f>SUM(G618:G619)</f>
        <v>22.1</v>
      </c>
      <c r="H620" s="2">
        <f>SUM(H618:H619)</f>
        <v>1448979</v>
      </c>
      <c r="I620" s="67">
        <f>SUM(I618:I619)</f>
        <v>7.644192047542714</v>
      </c>
      <c r="J620" s="2">
        <f>SUM(J618:J619)</f>
        <v>483958</v>
      </c>
      <c r="K620" s="30"/>
      <c r="L620" s="67">
        <f>SUM(L618:L619)</f>
        <v>8.97</v>
      </c>
      <c r="M620" s="59">
        <f>SUM(M618:M619)</f>
        <v>592480</v>
      </c>
    </row>
    <row r="621" spans="1:13" ht="12">
      <c r="A621" s="11">
        <v>10</v>
      </c>
      <c r="E621" s="11">
        <v>10</v>
      </c>
      <c r="F621" s="13"/>
      <c r="G621" s="67"/>
      <c r="H621" s="2"/>
      <c r="I621" s="67"/>
      <c r="J621" s="2"/>
      <c r="K621" s="30"/>
      <c r="L621" s="67"/>
      <c r="M621" s="59"/>
    </row>
    <row r="622" spans="1:13" ht="12">
      <c r="A622" s="11">
        <v>11</v>
      </c>
      <c r="C622" s="12" t="s">
        <v>28</v>
      </c>
      <c r="E622" s="11">
        <v>11</v>
      </c>
      <c r="G622" s="64">
        <f>SUM(G620,G615)</f>
        <v>26.400000000000002</v>
      </c>
      <c r="H622" s="65">
        <f>SUM(H615,H620)</f>
        <v>1890581</v>
      </c>
      <c r="I622" s="64">
        <f>SUM(I620,I615)</f>
        <v>12.848588392220822</v>
      </c>
      <c r="J622" s="65">
        <f>SUM(J620,J615)</f>
        <v>925536</v>
      </c>
      <c r="K622" s="30"/>
      <c r="L622" s="64">
        <f>SUM(L620,L615)</f>
        <v>14.81</v>
      </c>
      <c r="M622" s="59">
        <f>SUM(M620,M615)</f>
        <v>1142743</v>
      </c>
    </row>
    <row r="623" spans="1:13" ht="12">
      <c r="A623" s="11">
        <v>12</v>
      </c>
      <c r="E623" s="11">
        <v>12</v>
      </c>
      <c r="G623" s="64"/>
      <c r="H623" s="65"/>
      <c r="I623" s="64"/>
      <c r="J623" s="65"/>
      <c r="K623" s="30"/>
      <c r="L623" s="64"/>
      <c r="M623" s="7"/>
    </row>
    <row r="624" spans="1:13" ht="12">
      <c r="A624" s="11">
        <v>13</v>
      </c>
      <c r="C624" s="12" t="s">
        <v>38</v>
      </c>
      <c r="E624" s="11">
        <v>13</v>
      </c>
      <c r="F624" s="13"/>
      <c r="G624" s="67">
        <v>0.5</v>
      </c>
      <c r="H624" s="2">
        <v>11878</v>
      </c>
      <c r="I624" s="67">
        <f>J624/86800</f>
        <v>0.14694700460829493</v>
      </c>
      <c r="J624" s="2">
        <f>9979+28+2534+214</f>
        <v>12755</v>
      </c>
      <c r="K624" s="110"/>
      <c r="L624" s="67"/>
      <c r="M624" s="88">
        <f>3000+2249+95</f>
        <v>5344</v>
      </c>
    </row>
    <row r="625" spans="1:13" ht="12">
      <c r="A625" s="11">
        <v>14</v>
      </c>
      <c r="E625" s="11">
        <v>14</v>
      </c>
      <c r="F625" s="13"/>
      <c r="G625" s="67"/>
      <c r="H625" s="2"/>
      <c r="I625" s="67"/>
      <c r="J625" s="2"/>
      <c r="K625" s="110"/>
      <c r="L625" s="67"/>
      <c r="M625" s="13"/>
    </row>
    <row r="626" spans="1:13" ht="12">
      <c r="A626" s="11">
        <v>15</v>
      </c>
      <c r="C626" s="12" t="s">
        <v>30</v>
      </c>
      <c r="E626" s="11">
        <v>15</v>
      </c>
      <c r="F626" s="13"/>
      <c r="G626" s="67"/>
      <c r="H626" s="2">
        <v>5882</v>
      </c>
      <c r="I626" s="67"/>
      <c r="J626" s="2">
        <f>7009+384</f>
        <v>7393</v>
      </c>
      <c r="K626" s="110"/>
      <c r="L626" s="67"/>
      <c r="M626" s="258">
        <v>7800</v>
      </c>
    </row>
    <row r="627" spans="1:13" ht="12">
      <c r="A627" s="11">
        <v>16</v>
      </c>
      <c r="C627" s="12" t="s">
        <v>31</v>
      </c>
      <c r="E627" s="11">
        <v>16</v>
      </c>
      <c r="F627" s="13"/>
      <c r="G627" s="67"/>
      <c r="H627" s="2">
        <v>101218</v>
      </c>
      <c r="I627" s="67"/>
      <c r="J627" s="2">
        <f>97959+200-13624+21455</f>
        <v>105990</v>
      </c>
      <c r="K627" s="110"/>
      <c r="L627" s="67"/>
      <c r="M627" s="88">
        <f>78843+1000-55404+65885-1000</f>
        <v>89324</v>
      </c>
    </row>
    <row r="628" spans="1:13" ht="12">
      <c r="A628" s="11"/>
      <c r="C628" s="12"/>
      <c r="E628" s="11"/>
      <c r="F628" s="13"/>
      <c r="G628" s="67"/>
      <c r="H628" s="2"/>
      <c r="I628" s="67"/>
      <c r="J628" s="2"/>
      <c r="K628" s="110"/>
      <c r="L628" s="67"/>
      <c r="M628" s="88"/>
    </row>
    <row r="629" spans="1:13" ht="12">
      <c r="A629" s="11">
        <v>17</v>
      </c>
      <c r="C629" s="12" t="s">
        <v>32</v>
      </c>
      <c r="E629" s="11">
        <v>17</v>
      </c>
      <c r="F629" s="13"/>
      <c r="G629" s="67"/>
      <c r="H629" s="2"/>
      <c r="I629" s="67"/>
      <c r="J629" s="2"/>
      <c r="K629" s="110"/>
      <c r="L629" s="67"/>
      <c r="M629" s="2"/>
    </row>
    <row r="630" spans="1:13" ht="12">
      <c r="A630" s="11">
        <v>18</v>
      </c>
      <c r="E630" s="11">
        <v>18</v>
      </c>
      <c r="F630" s="13"/>
      <c r="G630" s="67"/>
      <c r="H630" s="2"/>
      <c r="I630" s="67"/>
      <c r="J630" s="2"/>
      <c r="K630" s="110"/>
      <c r="L630" s="67"/>
      <c r="M630" s="2"/>
    </row>
    <row r="631" spans="1:13" ht="12">
      <c r="A631" s="11">
        <v>19</v>
      </c>
      <c r="C631" s="12" t="s">
        <v>42</v>
      </c>
      <c r="E631" s="11">
        <v>19</v>
      </c>
      <c r="F631" s="13"/>
      <c r="G631" s="67"/>
      <c r="H631" s="2">
        <v>0</v>
      </c>
      <c r="I631" s="67"/>
      <c r="J631" s="2">
        <v>0</v>
      </c>
      <c r="K631" s="110"/>
      <c r="L631" s="67"/>
      <c r="M631" s="2">
        <v>0</v>
      </c>
    </row>
    <row r="632" spans="1:13" ht="12">
      <c r="A632" s="11">
        <v>20</v>
      </c>
      <c r="C632" s="12"/>
      <c r="E632" s="11">
        <v>20</v>
      </c>
      <c r="F632" s="13"/>
      <c r="G632" s="67"/>
      <c r="H632" s="2"/>
      <c r="I632" s="67"/>
      <c r="J632" s="2"/>
      <c r="K632" s="110"/>
      <c r="L632" s="67"/>
      <c r="M632" s="2"/>
    </row>
    <row r="633" spans="1:13" ht="12">
      <c r="A633" s="11">
        <v>21</v>
      </c>
      <c r="C633" s="12"/>
      <c r="E633" s="11">
        <v>21</v>
      </c>
      <c r="F633" s="13"/>
      <c r="G633" s="67"/>
      <c r="H633" s="2"/>
      <c r="I633" s="67"/>
      <c r="J633" s="2"/>
      <c r="K633" s="110"/>
      <c r="L633" s="67"/>
      <c r="M633" s="2"/>
    </row>
    <row r="634" spans="1:13" ht="12">
      <c r="A634" s="11">
        <v>22</v>
      </c>
      <c r="C634" s="12"/>
      <c r="E634" s="11">
        <v>22</v>
      </c>
      <c r="F634" s="13"/>
      <c r="G634" s="67"/>
      <c r="H634" s="2"/>
      <c r="I634" s="67"/>
      <c r="J634" s="2"/>
      <c r="K634" s="110"/>
      <c r="L634" s="67"/>
      <c r="M634" s="2"/>
    </row>
    <row r="635" spans="1:13" ht="12">
      <c r="A635" s="11">
        <v>23</v>
      </c>
      <c r="C635" s="12"/>
      <c r="E635" s="11">
        <v>23</v>
      </c>
      <c r="F635" s="13"/>
      <c r="G635" s="67"/>
      <c r="H635" s="2"/>
      <c r="I635" s="67"/>
      <c r="J635" s="2"/>
      <c r="K635" s="110"/>
      <c r="L635" s="67"/>
      <c r="M635" s="2"/>
    </row>
    <row r="636" spans="1:13" ht="12">
      <c r="A636" s="11">
        <v>24</v>
      </c>
      <c r="C636" s="12"/>
      <c r="E636" s="11">
        <v>24</v>
      </c>
      <c r="F636" s="13"/>
      <c r="G636" s="67"/>
      <c r="H636" s="2"/>
      <c r="I636" s="67"/>
      <c r="J636" s="2"/>
      <c r="K636" s="110"/>
      <c r="L636" s="67"/>
      <c r="M636" s="2"/>
    </row>
    <row r="637" spans="5:13" ht="12">
      <c r="E637" s="50"/>
      <c r="F637" s="90" t="s">
        <v>1</v>
      </c>
      <c r="G637" s="89"/>
      <c r="H637" s="90"/>
      <c r="I637" s="23" t="s">
        <v>1</v>
      </c>
      <c r="J637" s="23" t="s">
        <v>1</v>
      </c>
      <c r="K637" s="90" t="s">
        <v>1</v>
      </c>
      <c r="L637" s="90" t="s">
        <v>1</v>
      </c>
      <c r="M637" s="23" t="s">
        <v>1</v>
      </c>
    </row>
    <row r="638" spans="1:13" ht="13.5" customHeight="1">
      <c r="A638" s="11">
        <v>25</v>
      </c>
      <c r="C638" s="12" t="s">
        <v>238</v>
      </c>
      <c r="E638" s="11">
        <v>25</v>
      </c>
      <c r="G638" s="64">
        <f>SUM(G622:G636)</f>
        <v>26.900000000000002</v>
      </c>
      <c r="H638" s="100">
        <f>SUM(H622:H636)</f>
        <v>2009559</v>
      </c>
      <c r="I638" s="64">
        <f>SUM(I622:I636)</f>
        <v>12.995535396829117</v>
      </c>
      <c r="J638" s="100">
        <f>SUM(J622:J636)</f>
        <v>1051674</v>
      </c>
      <c r="K638" s="25"/>
      <c r="L638" s="64">
        <f>SUM(L622:L636)</f>
        <v>14.81</v>
      </c>
      <c r="M638" s="100">
        <f>SUM(M622:M636)</f>
        <v>1245211</v>
      </c>
    </row>
    <row r="639" spans="5:13" ht="12">
      <c r="E639" s="50"/>
      <c r="F639" s="90" t="s">
        <v>1</v>
      </c>
      <c r="G639" s="90"/>
      <c r="H639" s="90"/>
      <c r="I639" s="22" t="s">
        <v>1</v>
      </c>
      <c r="J639" s="23" t="s">
        <v>1</v>
      </c>
      <c r="K639" s="90" t="s">
        <v>1</v>
      </c>
      <c r="L639" s="22" t="s">
        <v>1</v>
      </c>
      <c r="M639" s="23" t="s">
        <v>1</v>
      </c>
    </row>
    <row r="641" ht="12">
      <c r="A641" s="12"/>
    </row>
    <row r="642" spans="1:13" s="46" customFormat="1" ht="12">
      <c r="A642" s="19" t="str">
        <f>$A$36</f>
        <v>Institution No.:  GFE</v>
      </c>
      <c r="E642" s="51"/>
      <c r="I642" s="52"/>
      <c r="J642" s="53"/>
      <c r="L642" s="52"/>
      <c r="M642" s="18" t="s">
        <v>43</v>
      </c>
    </row>
    <row r="643" spans="1:13" s="46" customFormat="1" ht="12">
      <c r="A643" s="274" t="s">
        <v>153</v>
      </c>
      <c r="B643" s="274"/>
      <c r="C643" s="274"/>
      <c r="D643" s="274"/>
      <c r="E643" s="274"/>
      <c r="F643" s="274"/>
      <c r="G643" s="274"/>
      <c r="H643" s="274"/>
      <c r="I643" s="274"/>
      <c r="J643" s="274"/>
      <c r="K643" s="274"/>
      <c r="L643" s="274"/>
      <c r="M643" s="274"/>
    </row>
    <row r="644" spans="1:13" ht="12">
      <c r="A644" s="19" t="s">
        <v>664</v>
      </c>
      <c r="C644" s="7" t="s">
        <v>666</v>
      </c>
      <c r="F644" s="92"/>
      <c r="G644" s="92"/>
      <c r="H644" s="92"/>
      <c r="I644" s="85"/>
      <c r="J644" s="55"/>
      <c r="L644" s="17"/>
      <c r="M644" s="20" t="str">
        <f>$M$3</f>
        <v>Date: 10/1/2008</v>
      </c>
    </row>
    <row r="645" spans="1:13" ht="12">
      <c r="A645" s="21" t="s">
        <v>1</v>
      </c>
      <c r="B645" s="21" t="s">
        <v>1</v>
      </c>
      <c r="C645" s="21" t="s">
        <v>1</v>
      </c>
      <c r="D645" s="21" t="s">
        <v>1</v>
      </c>
      <c r="E645" s="21" t="s">
        <v>1</v>
      </c>
      <c r="F645" s="21" t="s">
        <v>1</v>
      </c>
      <c r="G645" s="21"/>
      <c r="H645" s="21"/>
      <c r="I645" s="22" t="s">
        <v>1</v>
      </c>
      <c r="J645" s="23" t="s">
        <v>1</v>
      </c>
      <c r="K645" s="21" t="s">
        <v>1</v>
      </c>
      <c r="L645" s="22" t="s">
        <v>1</v>
      </c>
      <c r="M645" s="23" t="s">
        <v>1</v>
      </c>
    </row>
    <row r="646" spans="1:13" ht="12">
      <c r="A646" s="24" t="s">
        <v>2</v>
      </c>
      <c r="E646" s="24" t="s">
        <v>2</v>
      </c>
      <c r="F646" s="25"/>
      <c r="G646" s="26"/>
      <c r="H646" s="25" t="s">
        <v>249</v>
      </c>
      <c r="I646" s="26"/>
      <c r="J646" s="27" t="s">
        <v>251</v>
      </c>
      <c r="K646" s="25"/>
      <c r="L646" s="26"/>
      <c r="M646" s="27" t="s">
        <v>260</v>
      </c>
    </row>
    <row r="647" spans="1:13" ht="12">
      <c r="A647" s="24" t="s">
        <v>4</v>
      </c>
      <c r="C647" s="28" t="s">
        <v>20</v>
      </c>
      <c r="E647" s="24" t="s">
        <v>4</v>
      </c>
      <c r="F647" s="25"/>
      <c r="G647" s="26" t="s">
        <v>6</v>
      </c>
      <c r="H647" s="27" t="s">
        <v>7</v>
      </c>
      <c r="I647" s="26" t="s">
        <v>6</v>
      </c>
      <c r="J647" s="27" t="s">
        <v>7</v>
      </c>
      <c r="K647" s="25"/>
      <c r="L647" s="26" t="s">
        <v>6</v>
      </c>
      <c r="M647" s="27" t="s">
        <v>8</v>
      </c>
    </row>
    <row r="648" spans="1:13" ht="12">
      <c r="A648" s="21" t="s">
        <v>1</v>
      </c>
      <c r="B648" s="21" t="s">
        <v>1</v>
      </c>
      <c r="C648" s="21" t="s">
        <v>1</v>
      </c>
      <c r="D648" s="21" t="s">
        <v>1</v>
      </c>
      <c r="E648" s="21" t="s">
        <v>1</v>
      </c>
      <c r="F648" s="21" t="s">
        <v>1</v>
      </c>
      <c r="G648" s="21"/>
      <c r="H648" s="21"/>
      <c r="I648" s="22" t="s">
        <v>1</v>
      </c>
      <c r="J648" s="23" t="s">
        <v>1</v>
      </c>
      <c r="K648" s="21" t="s">
        <v>1</v>
      </c>
      <c r="L648" s="22" t="s">
        <v>1</v>
      </c>
      <c r="M648" s="23" t="s">
        <v>1</v>
      </c>
    </row>
    <row r="649" spans="1:13" ht="12">
      <c r="A649" s="11">
        <v>1</v>
      </c>
      <c r="C649" s="12" t="s">
        <v>36</v>
      </c>
      <c r="E649" s="11">
        <v>1</v>
      </c>
      <c r="F649" s="13"/>
      <c r="G649" s="104">
        <v>66.8</v>
      </c>
      <c r="H649" s="1">
        <v>7900782</v>
      </c>
      <c r="I649" s="104">
        <f>(J649/123799)</f>
        <v>72.33144048013312</v>
      </c>
      <c r="J649" s="1">
        <f>171818+1324+5795964-67074-790-16863+65376+770+16436+2987599</f>
        <v>8954560</v>
      </c>
      <c r="K649" s="110"/>
      <c r="L649" s="104">
        <v>72.75</v>
      </c>
      <c r="M649" s="1">
        <f>56001+6247810+3180068</f>
        <v>9483879</v>
      </c>
    </row>
    <row r="650" spans="1:13" ht="12">
      <c r="A650" s="11">
        <v>2</v>
      </c>
      <c r="C650" s="12" t="s">
        <v>37</v>
      </c>
      <c r="E650" s="11">
        <v>2</v>
      </c>
      <c r="F650" s="13"/>
      <c r="G650" s="104"/>
      <c r="H650" s="1">
        <v>1487146</v>
      </c>
      <c r="I650" s="104"/>
      <c r="J650" s="1">
        <f>75550+113741+43787+111+1139818-75450-113741-16231-62-4015+15820+60+3914+539792</f>
        <v>1723094</v>
      </c>
      <c r="K650" s="110"/>
      <c r="L650" s="104"/>
      <c r="M650" s="1">
        <f>19630+1348606+738679</f>
        <v>2106915</v>
      </c>
    </row>
    <row r="651" spans="1:13" ht="12">
      <c r="A651" s="11">
        <v>3</v>
      </c>
      <c r="E651" s="11">
        <v>3</v>
      </c>
      <c r="F651" s="13"/>
      <c r="G651" s="104"/>
      <c r="H651" s="1"/>
      <c r="I651" s="104"/>
      <c r="J651" s="1"/>
      <c r="K651" s="110"/>
      <c r="L651" s="104"/>
      <c r="M651" s="1"/>
    </row>
    <row r="652" spans="1:13" ht="12">
      <c r="A652" s="11">
        <v>4</v>
      </c>
      <c r="C652" s="12" t="s">
        <v>23</v>
      </c>
      <c r="E652" s="11">
        <v>4</v>
      </c>
      <c r="F652" s="13"/>
      <c r="G652" s="104">
        <f>SUM(G649:G651)</f>
        <v>66.8</v>
      </c>
      <c r="H652" s="1">
        <f>SUM(H649:H651)</f>
        <v>9387928</v>
      </c>
      <c r="I652" s="104">
        <f>SUM(I649:I651)</f>
        <v>72.33144048013312</v>
      </c>
      <c r="J652" s="1">
        <f>SUM(J649:J651)</f>
        <v>10677654</v>
      </c>
      <c r="K652" s="30"/>
      <c r="L652" s="104">
        <f>SUM(L649:L651)</f>
        <v>72.75</v>
      </c>
      <c r="M652" s="1">
        <f>SUM(M649:M651)</f>
        <v>11590794</v>
      </c>
    </row>
    <row r="653" spans="1:13" ht="12">
      <c r="A653" s="11">
        <v>5</v>
      </c>
      <c r="E653" s="11">
        <v>5</v>
      </c>
      <c r="F653" s="13"/>
      <c r="G653" s="104"/>
      <c r="H653" s="1"/>
      <c r="I653" s="104"/>
      <c r="J653" s="1"/>
      <c r="K653" s="30"/>
      <c r="L653" s="104"/>
      <c r="M653" s="1"/>
    </row>
    <row r="654" spans="1:13" ht="12">
      <c r="A654" s="11">
        <v>6</v>
      </c>
      <c r="E654" s="11">
        <v>6</v>
      </c>
      <c r="F654" s="13"/>
      <c r="G654" s="104"/>
      <c r="H654" s="1"/>
      <c r="I654" s="104"/>
      <c r="J654" s="1"/>
      <c r="K654" s="30"/>
      <c r="L654" s="104"/>
      <c r="M654" s="1"/>
    </row>
    <row r="655" spans="1:13" ht="12">
      <c r="A655" s="11">
        <v>7</v>
      </c>
      <c r="C655" s="12" t="s">
        <v>25</v>
      </c>
      <c r="E655" s="11">
        <v>7</v>
      </c>
      <c r="F655" s="13"/>
      <c r="G655" s="104">
        <v>177.7</v>
      </c>
      <c r="H655" s="1">
        <v>10481004</v>
      </c>
      <c r="I655" s="104">
        <f>J655/64618</f>
        <v>156.69325884428488</v>
      </c>
      <c r="J655" s="1">
        <f>6859184+3266021</f>
        <v>10125205</v>
      </c>
      <c r="K655" s="110"/>
      <c r="L655" s="104">
        <v>166.51</v>
      </c>
      <c r="M655" s="1">
        <f>7827109+3499886</f>
        <v>11326995</v>
      </c>
    </row>
    <row r="656" spans="1:13" ht="12">
      <c r="A656" s="11">
        <v>8</v>
      </c>
      <c r="C656" s="12" t="s">
        <v>26</v>
      </c>
      <c r="E656" s="11">
        <v>8</v>
      </c>
      <c r="F656" s="13"/>
      <c r="G656" s="104"/>
      <c r="H656" s="1">
        <v>2252680</v>
      </c>
      <c r="I656" s="104"/>
      <c r="J656" s="1">
        <f>163672+1577778-163672+759494</f>
        <v>2337272</v>
      </c>
      <c r="K656" s="110"/>
      <c r="L656" s="104"/>
      <c r="M656" s="1">
        <f>2043938+770183</f>
        <v>2814121</v>
      </c>
    </row>
    <row r="657" spans="1:13" ht="12">
      <c r="A657" s="11">
        <v>9</v>
      </c>
      <c r="C657" s="12" t="s">
        <v>27</v>
      </c>
      <c r="E657" s="11">
        <v>9</v>
      </c>
      <c r="F657" s="13"/>
      <c r="G657" s="104">
        <f>SUM(G655:G656)</f>
        <v>177.7</v>
      </c>
      <c r="H657" s="1">
        <f>SUM(H655:H656)</f>
        <v>12733684</v>
      </c>
      <c r="I657" s="104">
        <f>SUM(I655:I656)</f>
        <v>156.69325884428488</v>
      </c>
      <c r="J657" s="1">
        <f>SUM(J655:J656)</f>
        <v>12462477</v>
      </c>
      <c r="K657" s="30"/>
      <c r="L657" s="104">
        <f>SUM(L655:L656)</f>
        <v>166.51</v>
      </c>
      <c r="M657" s="1">
        <f>SUM(M655:M656)</f>
        <v>14141116</v>
      </c>
    </row>
    <row r="658" spans="1:13" ht="12">
      <c r="A658" s="11">
        <v>10</v>
      </c>
      <c r="E658" s="11">
        <v>10</v>
      </c>
      <c r="F658" s="13"/>
      <c r="G658" s="104"/>
      <c r="H658" s="1"/>
      <c r="I658" s="104"/>
      <c r="J658" s="1"/>
      <c r="K658" s="30"/>
      <c r="L658" s="104"/>
      <c r="M658" s="1"/>
    </row>
    <row r="659" spans="1:13" ht="12">
      <c r="A659" s="11">
        <v>11</v>
      </c>
      <c r="C659" s="12" t="s">
        <v>28</v>
      </c>
      <c r="E659" s="11">
        <v>11</v>
      </c>
      <c r="F659" s="13"/>
      <c r="G659" s="104">
        <f>SUM(G657,G652)</f>
        <v>244.5</v>
      </c>
      <c r="H659" s="1">
        <f>SUM(H657,H652)</f>
        <v>22121612</v>
      </c>
      <c r="I659" s="104">
        <f>SUM(I657,I652)</f>
        <v>229.024699324418</v>
      </c>
      <c r="J659" s="1">
        <f>SUM(J657,J652)</f>
        <v>23140131</v>
      </c>
      <c r="K659" s="30"/>
      <c r="L659" s="104">
        <f>SUM(L657,L652)</f>
        <v>239.26</v>
      </c>
      <c r="M659" s="1">
        <f>SUM(M657,M652)</f>
        <v>25731910</v>
      </c>
    </row>
    <row r="660" spans="1:13" ht="12">
      <c r="A660" s="11">
        <v>12</v>
      </c>
      <c r="E660" s="11">
        <v>12</v>
      </c>
      <c r="F660" s="13"/>
      <c r="G660" s="104"/>
      <c r="H660" s="1"/>
      <c r="I660" s="104"/>
      <c r="J660" s="1"/>
      <c r="K660" s="30"/>
      <c r="L660" s="104"/>
      <c r="M660" s="1"/>
    </row>
    <row r="661" spans="1:13" ht="12">
      <c r="A661" s="11">
        <v>13</v>
      </c>
      <c r="C661" s="12" t="s">
        <v>38</v>
      </c>
      <c r="E661" s="11">
        <v>13</v>
      </c>
      <c r="F661" s="13"/>
      <c r="G661" s="104">
        <v>2.8</v>
      </c>
      <c r="H661" s="1">
        <v>204885</v>
      </c>
      <c r="I661" s="104">
        <f>J661/73219</f>
        <v>3.126975238667559</v>
      </c>
      <c r="J661" s="1">
        <f>145476+729+82367+382</f>
        <v>228954</v>
      </c>
      <c r="K661" s="110"/>
      <c r="L661" s="104">
        <v>1.12</v>
      </c>
      <c r="M661" s="1">
        <f>81566+211+83144+4404</f>
        <v>169325</v>
      </c>
    </row>
    <row r="662" spans="1:13" ht="12">
      <c r="A662" s="11">
        <v>14</v>
      </c>
      <c r="E662" s="11">
        <v>14</v>
      </c>
      <c r="F662" s="13"/>
      <c r="G662" s="104"/>
      <c r="H662" s="1"/>
      <c r="I662" s="104"/>
      <c r="J662" s="1"/>
      <c r="K662" s="110"/>
      <c r="L662" s="104"/>
      <c r="M662" s="1"/>
    </row>
    <row r="663" spans="1:13" ht="12">
      <c r="A663" s="11">
        <v>15</v>
      </c>
      <c r="C663" s="12" t="s">
        <v>30</v>
      </c>
      <c r="E663" s="11">
        <v>15</v>
      </c>
      <c r="F663" s="13"/>
      <c r="G663" s="104"/>
      <c r="H663" s="1">
        <v>83605</v>
      </c>
      <c r="I663" s="104"/>
      <c r="J663" s="1">
        <f>202274</f>
        <v>202274</v>
      </c>
      <c r="K663" s="110"/>
      <c r="L663" s="104"/>
      <c r="M663" s="1">
        <f>9281</f>
        <v>9281</v>
      </c>
    </row>
    <row r="664" spans="1:13" ht="12">
      <c r="A664" s="11">
        <v>16</v>
      </c>
      <c r="C664" s="12" t="s">
        <v>31</v>
      </c>
      <c r="E664" s="11">
        <v>16</v>
      </c>
      <c r="F664" s="13"/>
      <c r="G664" s="104"/>
      <c r="H664" s="1">
        <f>2451812</f>
        <v>2451812</v>
      </c>
      <c r="I664" s="104"/>
      <c r="J664" s="1">
        <f>4214006+768+6702186+12234-9030-91603-6776234+89284+6604683-139452-7635655</f>
        <v>2971187</v>
      </c>
      <c r="K664" s="110"/>
      <c r="L664" s="104"/>
      <c r="M664" s="1">
        <f>30000+12346994+17750+7544918-651932-19250+2433640-27348-54269-8276364-7500000-2800000</f>
        <v>3044139</v>
      </c>
    </row>
    <row r="665" spans="1:13" ht="12">
      <c r="A665" s="11">
        <v>17</v>
      </c>
      <c r="C665" s="12" t="s">
        <v>32</v>
      </c>
      <c r="E665" s="11">
        <v>17</v>
      </c>
      <c r="F665" s="13"/>
      <c r="G665" s="104"/>
      <c r="H665" s="1"/>
      <c r="I665" s="104"/>
      <c r="J665" s="1">
        <f>651932-651932</f>
        <v>0</v>
      </c>
      <c r="K665" s="110"/>
      <c r="L665" s="104"/>
      <c r="M665" s="1">
        <f>222984-222984</f>
        <v>0</v>
      </c>
    </row>
    <row r="666" spans="1:13" ht="12">
      <c r="A666" s="11">
        <v>18</v>
      </c>
      <c r="E666" s="11">
        <v>18</v>
      </c>
      <c r="F666" s="13"/>
      <c r="G666" s="104"/>
      <c r="H666" s="1"/>
      <c r="I666" s="104"/>
      <c r="J666" s="1"/>
      <c r="K666" s="110"/>
      <c r="L666" s="104"/>
      <c r="M666" s="1"/>
    </row>
    <row r="667" spans="1:13" ht="12">
      <c r="A667" s="11">
        <v>19</v>
      </c>
      <c r="C667" s="12" t="s">
        <v>42</v>
      </c>
      <c r="E667" s="11">
        <v>19</v>
      </c>
      <c r="F667" s="13"/>
      <c r="G667" s="104"/>
      <c r="H667" s="1">
        <v>0</v>
      </c>
      <c r="I667" s="104"/>
      <c r="J667" s="1">
        <v>0</v>
      </c>
      <c r="K667" s="110"/>
      <c r="L667" s="104"/>
      <c r="M667" s="1">
        <v>0</v>
      </c>
    </row>
    <row r="668" spans="1:13" ht="12">
      <c r="A668" s="11">
        <v>20</v>
      </c>
      <c r="C668" s="12"/>
      <c r="E668" s="11">
        <v>20</v>
      </c>
      <c r="F668" s="13"/>
      <c r="G668" s="104"/>
      <c r="H668" s="1"/>
      <c r="I668" s="104"/>
      <c r="J668" s="1"/>
      <c r="K668" s="110"/>
      <c r="L668" s="104"/>
      <c r="M668" s="1"/>
    </row>
    <row r="669" spans="1:13" ht="12">
      <c r="A669" s="11">
        <v>21</v>
      </c>
      <c r="C669" s="12"/>
      <c r="E669" s="11">
        <v>21</v>
      </c>
      <c r="F669" s="13"/>
      <c r="G669" s="104"/>
      <c r="H669" s="1"/>
      <c r="I669" s="104"/>
      <c r="J669" s="1"/>
      <c r="K669" s="110"/>
      <c r="L669" s="104"/>
      <c r="M669" s="1"/>
    </row>
    <row r="670" spans="1:13" ht="12">
      <c r="A670" s="11">
        <v>22</v>
      </c>
      <c r="C670" s="12"/>
      <c r="E670" s="11">
        <v>22</v>
      </c>
      <c r="F670" s="13"/>
      <c r="G670" s="104"/>
      <c r="H670" s="1"/>
      <c r="I670" s="104"/>
      <c r="J670" s="1"/>
      <c r="K670" s="110"/>
      <c r="L670" s="104"/>
      <c r="M670" s="1"/>
    </row>
    <row r="671" spans="1:13" ht="12">
      <c r="A671" s="11">
        <v>23</v>
      </c>
      <c r="C671" s="12"/>
      <c r="E671" s="11">
        <v>23</v>
      </c>
      <c r="F671" s="13"/>
      <c r="G671" s="104"/>
      <c r="H671" s="1"/>
      <c r="I671" s="104"/>
      <c r="J671" s="1"/>
      <c r="K671" s="110"/>
      <c r="L671" s="104"/>
      <c r="M671" s="1"/>
    </row>
    <row r="672" spans="1:13" ht="12">
      <c r="A672" s="11">
        <v>24</v>
      </c>
      <c r="C672" s="12"/>
      <c r="E672" s="11">
        <v>24</v>
      </c>
      <c r="F672" s="13"/>
      <c r="G672" s="119"/>
      <c r="H672" s="98"/>
      <c r="I672" s="119"/>
      <c r="J672" s="98"/>
      <c r="K672" s="13"/>
      <c r="L672" s="119"/>
      <c r="M672" s="98"/>
    </row>
    <row r="673" spans="5:13" ht="12">
      <c r="E673" s="50"/>
      <c r="F673" s="90" t="s">
        <v>1</v>
      </c>
      <c r="G673" s="89"/>
      <c r="H673" s="90"/>
      <c r="I673" s="90" t="s">
        <v>1</v>
      </c>
      <c r="J673" s="23" t="s">
        <v>1</v>
      </c>
      <c r="K673" s="90" t="s">
        <v>1</v>
      </c>
      <c r="L673" s="90" t="s">
        <v>1</v>
      </c>
      <c r="M673" s="23" t="s">
        <v>1</v>
      </c>
    </row>
    <row r="674" spans="1:13" ht="13.5" customHeight="1">
      <c r="A674" s="11">
        <v>25</v>
      </c>
      <c r="C674" s="12" t="s">
        <v>239</v>
      </c>
      <c r="E674" s="11">
        <v>25</v>
      </c>
      <c r="G674" s="107">
        <f>SUM(G659:G672)</f>
        <v>247.3</v>
      </c>
      <c r="H674" s="100">
        <f>SUM(H659:H672)</f>
        <v>24861914</v>
      </c>
      <c r="I674" s="107">
        <f>SUM(I659:I672)</f>
        <v>232.15167456308558</v>
      </c>
      <c r="J674" s="100">
        <f>SUM(J659:J672)</f>
        <v>26542546</v>
      </c>
      <c r="K674" s="30"/>
      <c r="L674" s="107">
        <f>SUM(L659:L672)</f>
        <v>240.38</v>
      </c>
      <c r="M674" s="100">
        <f>SUM(M659:M672)</f>
        <v>28954655</v>
      </c>
    </row>
    <row r="675" spans="5:13" ht="12">
      <c r="E675" s="50"/>
      <c r="F675" s="90" t="s">
        <v>1</v>
      </c>
      <c r="G675" s="90"/>
      <c r="H675" s="90"/>
      <c r="I675" s="22"/>
      <c r="J675" s="23"/>
      <c r="K675" s="90"/>
      <c r="L675" s="22"/>
      <c r="M675" s="23"/>
    </row>
    <row r="676" ht="12">
      <c r="A676" s="12"/>
    </row>
    <row r="678" spans="1:13" s="46" customFormat="1" ht="12">
      <c r="A678" s="19" t="str">
        <f>$A$36</f>
        <v>Institution No.:  GFE</v>
      </c>
      <c r="E678" s="51"/>
      <c r="I678" s="52"/>
      <c r="J678" s="53"/>
      <c r="L678" s="52"/>
      <c r="M678" s="18" t="s">
        <v>44</v>
      </c>
    </row>
    <row r="679" spans="1:13" s="46" customFormat="1" ht="12">
      <c r="A679" s="274" t="s">
        <v>154</v>
      </c>
      <c r="B679" s="274"/>
      <c r="C679" s="274"/>
      <c r="D679" s="274"/>
      <c r="E679" s="274"/>
      <c r="F679" s="274"/>
      <c r="G679" s="274"/>
      <c r="H679" s="274"/>
      <c r="I679" s="274"/>
      <c r="J679" s="274"/>
      <c r="K679" s="274"/>
      <c r="L679" s="274"/>
      <c r="M679" s="274"/>
    </row>
    <row r="680" spans="1:13" ht="12">
      <c r="A680" s="19" t="s">
        <v>664</v>
      </c>
      <c r="C680" s="7" t="s">
        <v>666</v>
      </c>
      <c r="F680" s="92"/>
      <c r="G680" s="92"/>
      <c r="H680" s="92"/>
      <c r="I680" s="85"/>
      <c r="J680" s="86"/>
      <c r="L680" s="17"/>
      <c r="M680" s="20" t="str">
        <f>$M$3</f>
        <v>Date: 10/1/2008</v>
      </c>
    </row>
    <row r="681" spans="1:13" ht="12">
      <c r="A681" s="21" t="s">
        <v>1</v>
      </c>
      <c r="B681" s="21" t="s">
        <v>1</v>
      </c>
      <c r="C681" s="21" t="s">
        <v>1</v>
      </c>
      <c r="D681" s="21" t="s">
        <v>1</v>
      </c>
      <c r="E681" s="21" t="s">
        <v>1</v>
      </c>
      <c r="F681" s="21" t="s">
        <v>1</v>
      </c>
      <c r="G681" s="21"/>
      <c r="H681" s="21"/>
      <c r="I681" s="22" t="s">
        <v>1</v>
      </c>
      <c r="J681" s="23" t="s">
        <v>1</v>
      </c>
      <c r="K681" s="21" t="s">
        <v>1</v>
      </c>
      <c r="L681" s="22" t="s">
        <v>1</v>
      </c>
      <c r="M681" s="23" t="s">
        <v>1</v>
      </c>
    </row>
    <row r="682" spans="1:13" ht="12">
      <c r="A682" s="24" t="s">
        <v>2</v>
      </c>
      <c r="E682" s="24" t="s">
        <v>2</v>
      </c>
      <c r="F682" s="25"/>
      <c r="G682" s="26"/>
      <c r="H682" s="25" t="s">
        <v>249</v>
      </c>
      <c r="I682" s="26"/>
      <c r="J682" s="27" t="s">
        <v>251</v>
      </c>
      <c r="K682" s="25"/>
      <c r="L682" s="26"/>
      <c r="M682" s="27" t="s">
        <v>260</v>
      </c>
    </row>
    <row r="683" spans="1:13" ht="12">
      <c r="A683" s="24" t="s">
        <v>4</v>
      </c>
      <c r="C683" s="28" t="s">
        <v>20</v>
      </c>
      <c r="E683" s="24" t="s">
        <v>4</v>
      </c>
      <c r="F683" s="25"/>
      <c r="G683" s="26" t="s">
        <v>6</v>
      </c>
      <c r="H683" s="27" t="s">
        <v>7</v>
      </c>
      <c r="I683" s="26" t="s">
        <v>6</v>
      </c>
      <c r="J683" s="27" t="s">
        <v>7</v>
      </c>
      <c r="K683" s="25"/>
      <c r="L683" s="26" t="s">
        <v>6</v>
      </c>
      <c r="M683" s="27" t="s">
        <v>8</v>
      </c>
    </row>
    <row r="684" spans="1:13" ht="12">
      <c r="A684" s="21" t="s">
        <v>1</v>
      </c>
      <c r="B684" s="21" t="s">
        <v>1</v>
      </c>
      <c r="C684" s="21" t="s">
        <v>1</v>
      </c>
      <c r="D684" s="21" t="s">
        <v>1</v>
      </c>
      <c r="E684" s="21" t="s">
        <v>1</v>
      </c>
      <c r="F684" s="21" t="s">
        <v>1</v>
      </c>
      <c r="G684" s="21"/>
      <c r="H684" s="21"/>
      <c r="I684" s="22"/>
      <c r="J684" s="23"/>
      <c r="K684" s="21"/>
      <c r="L684" s="22"/>
      <c r="M684" s="23"/>
    </row>
    <row r="685" spans="1:13" ht="12">
      <c r="A685" s="11">
        <v>1</v>
      </c>
      <c r="C685" s="12" t="s">
        <v>36</v>
      </c>
      <c r="E685" s="11">
        <v>1</v>
      </c>
      <c r="F685" s="13"/>
      <c r="G685" s="104">
        <v>16.1</v>
      </c>
      <c r="H685" s="1">
        <v>1592004</v>
      </c>
      <c r="I685" s="104">
        <f>J685/96617</f>
        <v>20.24779283148928</v>
      </c>
      <c r="J685" s="1">
        <f>1956281</f>
        <v>1956281</v>
      </c>
      <c r="K685" s="110"/>
      <c r="L685" s="120">
        <f>19.8</f>
        <v>19.8</v>
      </c>
      <c r="M685" s="1">
        <f>1996577</f>
        <v>1996577</v>
      </c>
    </row>
    <row r="686" spans="1:13" ht="12">
      <c r="A686" s="11">
        <v>2</v>
      </c>
      <c r="C686" s="12" t="s">
        <v>37</v>
      </c>
      <c r="E686" s="11">
        <v>2</v>
      </c>
      <c r="F686" s="13"/>
      <c r="G686" s="104"/>
      <c r="H686" s="1">
        <v>335343</v>
      </c>
      <c r="I686" s="104"/>
      <c r="J686" s="1">
        <f>18897+27156+414126-18897-27156</f>
        <v>414126</v>
      </c>
      <c r="K686" s="110"/>
      <c r="L686" s="120"/>
      <c r="M686" s="1">
        <f>470199</f>
        <v>470199</v>
      </c>
    </row>
    <row r="687" spans="1:13" ht="12">
      <c r="A687" s="11">
        <v>3</v>
      </c>
      <c r="E687" s="11">
        <v>3</v>
      </c>
      <c r="F687" s="13"/>
      <c r="G687" s="104"/>
      <c r="H687" s="1"/>
      <c r="I687" s="104"/>
      <c r="J687" s="1"/>
      <c r="K687" s="110"/>
      <c r="L687" s="120"/>
      <c r="M687" s="1"/>
    </row>
    <row r="688" spans="1:13" ht="12">
      <c r="A688" s="11">
        <v>4</v>
      </c>
      <c r="C688" s="12" t="s">
        <v>23</v>
      </c>
      <c r="E688" s="11">
        <v>4</v>
      </c>
      <c r="F688" s="13"/>
      <c r="G688" s="104">
        <f>SUM(G685:G687)</f>
        <v>16.1</v>
      </c>
      <c r="H688" s="1">
        <f>SUM(H685:H687)</f>
        <v>1927347</v>
      </c>
      <c r="I688" s="104">
        <f>SUM(I685:I687)</f>
        <v>20.24779283148928</v>
      </c>
      <c r="J688" s="1">
        <f>SUM(J685:J687)</f>
        <v>2370407</v>
      </c>
      <c r="K688" s="30"/>
      <c r="L688" s="120">
        <f>SUM(L685:L687)</f>
        <v>19.8</v>
      </c>
      <c r="M688" s="1">
        <f>SUM(M685:M687)</f>
        <v>2466776</v>
      </c>
    </row>
    <row r="689" spans="1:13" ht="12">
      <c r="A689" s="11">
        <v>5</v>
      </c>
      <c r="E689" s="11">
        <v>5</v>
      </c>
      <c r="F689" s="13"/>
      <c r="G689" s="104"/>
      <c r="H689" s="1"/>
      <c r="I689" s="104"/>
      <c r="J689" s="1"/>
      <c r="K689" s="30"/>
      <c r="L689" s="120"/>
      <c r="M689" s="1"/>
    </row>
    <row r="690" spans="1:13" ht="12">
      <c r="A690" s="11">
        <v>6</v>
      </c>
      <c r="E690" s="11">
        <v>6</v>
      </c>
      <c r="F690" s="13"/>
      <c r="G690" s="104"/>
      <c r="H690" s="1"/>
      <c r="I690" s="104"/>
      <c r="J690" s="1"/>
      <c r="K690" s="30"/>
      <c r="L690" s="120"/>
      <c r="M690" s="1"/>
    </row>
    <row r="691" spans="1:13" ht="12">
      <c r="A691" s="11">
        <v>7</v>
      </c>
      <c r="C691" s="12" t="s">
        <v>25</v>
      </c>
      <c r="E691" s="11">
        <v>7</v>
      </c>
      <c r="F691" s="13"/>
      <c r="G691" s="104">
        <v>193.6</v>
      </c>
      <c r="H691" s="1">
        <v>8706586</v>
      </c>
      <c r="I691" s="104">
        <f>J691/48441</f>
        <v>194.3165293862637</v>
      </c>
      <c r="J691" s="1">
        <f>9412887</f>
        <v>9412887</v>
      </c>
      <c r="K691" s="110"/>
      <c r="L691" s="120">
        <f>202.6</f>
        <v>202.6</v>
      </c>
      <c r="M691" s="1">
        <f>9959492</f>
        <v>9959492</v>
      </c>
    </row>
    <row r="692" spans="1:13" ht="12">
      <c r="A692" s="11">
        <v>8</v>
      </c>
      <c r="C692" s="12" t="s">
        <v>26</v>
      </c>
      <c r="E692" s="11">
        <v>8</v>
      </c>
      <c r="F692" s="13"/>
      <c r="G692" s="104"/>
      <c r="H692" s="1">
        <v>1941596</v>
      </c>
      <c r="I692" s="104"/>
      <c r="J692" s="1">
        <f>183581+2261172-183581</f>
        <v>2261172</v>
      </c>
      <c r="K692" s="110"/>
      <c r="L692" s="120"/>
      <c r="M692" s="1">
        <f>2775558</f>
        <v>2775558</v>
      </c>
    </row>
    <row r="693" spans="1:13" ht="12">
      <c r="A693" s="11">
        <v>9</v>
      </c>
      <c r="C693" s="12" t="s">
        <v>27</v>
      </c>
      <c r="E693" s="11">
        <v>9</v>
      </c>
      <c r="F693" s="13"/>
      <c r="G693" s="104">
        <f>SUM(G691:G692)</f>
        <v>193.6</v>
      </c>
      <c r="H693" s="1">
        <f>SUM(H691:H692)</f>
        <v>10648182</v>
      </c>
      <c r="I693" s="104">
        <f>SUM(I691:I692)</f>
        <v>194.3165293862637</v>
      </c>
      <c r="J693" s="1">
        <f>SUM(J691:J692)</f>
        <v>11674059</v>
      </c>
      <c r="K693" s="30"/>
      <c r="L693" s="120">
        <f>SUM(L691:L692)</f>
        <v>202.6</v>
      </c>
      <c r="M693" s="1">
        <f>SUM(M691:M692)</f>
        <v>12735050</v>
      </c>
    </row>
    <row r="694" spans="1:13" ht="12">
      <c r="A694" s="11">
        <v>10</v>
      </c>
      <c r="E694" s="11">
        <v>10</v>
      </c>
      <c r="F694" s="13"/>
      <c r="G694" s="104"/>
      <c r="H694" s="1"/>
      <c r="I694" s="104"/>
      <c r="J694" s="1"/>
      <c r="K694" s="30"/>
      <c r="L694" s="120"/>
      <c r="M694" s="1"/>
    </row>
    <row r="695" spans="1:13" ht="12">
      <c r="A695" s="11">
        <v>11</v>
      </c>
      <c r="C695" s="12" t="s">
        <v>28</v>
      </c>
      <c r="E695" s="11">
        <v>11</v>
      </c>
      <c r="G695" s="107">
        <f>SUM(G693,G688)</f>
        <v>209.7</v>
      </c>
      <c r="H695" s="100">
        <f>SUM(H693,H688)</f>
        <v>12575529</v>
      </c>
      <c r="I695" s="107">
        <f>SUM(I693,I688)</f>
        <v>214.564322217753</v>
      </c>
      <c r="J695" s="100">
        <f>SUM(J693,J688)</f>
        <v>14044466</v>
      </c>
      <c r="K695" s="30"/>
      <c r="L695" s="121">
        <f>SUM(L693,L688)</f>
        <v>222.4</v>
      </c>
      <c r="M695" s="100">
        <f>SUM(M693,M688)</f>
        <v>15201826</v>
      </c>
    </row>
    <row r="696" spans="1:13" ht="12">
      <c r="A696" s="11">
        <v>12</v>
      </c>
      <c r="E696" s="11">
        <v>12</v>
      </c>
      <c r="G696" s="107"/>
      <c r="H696" s="100"/>
      <c r="I696" s="107"/>
      <c r="J696" s="100"/>
      <c r="K696" s="30"/>
      <c r="L696" s="121"/>
      <c r="M696" s="100"/>
    </row>
    <row r="697" spans="1:13" ht="12">
      <c r="A697" s="11">
        <v>13</v>
      </c>
      <c r="C697" s="12" t="s">
        <v>38</v>
      </c>
      <c r="E697" s="11">
        <v>13</v>
      </c>
      <c r="F697" s="13"/>
      <c r="G697" s="104">
        <v>2.1</v>
      </c>
      <c r="H697" s="1">
        <v>66886</v>
      </c>
      <c r="I697" s="104">
        <f>J697/31888</f>
        <v>3.5008467134972405</v>
      </c>
      <c r="J697" s="1">
        <f>110742+893</f>
        <v>111635</v>
      </c>
      <c r="K697" s="110"/>
      <c r="L697" s="120">
        <v>1.86</v>
      </c>
      <c r="M697" s="1">
        <f>59195</f>
        <v>59195</v>
      </c>
    </row>
    <row r="698" spans="1:13" ht="12">
      <c r="A698" s="11">
        <v>14</v>
      </c>
      <c r="C698" s="12" t="s">
        <v>46</v>
      </c>
      <c r="E698" s="11">
        <v>14</v>
      </c>
      <c r="F698" s="13"/>
      <c r="G698" s="104"/>
      <c r="H698" s="1"/>
      <c r="I698" s="104"/>
      <c r="J698" s="1"/>
      <c r="K698" s="110"/>
      <c r="L698" s="120"/>
      <c r="M698" s="1"/>
    </row>
    <row r="699" spans="1:13" ht="12">
      <c r="A699" s="11">
        <v>15</v>
      </c>
      <c r="C699" s="12" t="s">
        <v>30</v>
      </c>
      <c r="E699" s="11">
        <v>15</v>
      </c>
      <c r="F699" s="13"/>
      <c r="G699" s="104"/>
      <c r="H699" s="1">
        <v>31672</v>
      </c>
      <c r="I699" s="104"/>
      <c r="J699" s="1">
        <v>34875</v>
      </c>
      <c r="K699" s="110"/>
      <c r="L699" s="120"/>
      <c r="M699" s="1"/>
    </row>
    <row r="700" spans="1:13" ht="12">
      <c r="A700" s="11">
        <v>16</v>
      </c>
      <c r="C700" s="12" t="s">
        <v>45</v>
      </c>
      <c r="E700" s="11">
        <v>16</v>
      </c>
      <c r="F700" s="13"/>
      <c r="G700" s="104"/>
      <c r="H700" s="1">
        <f>9816542</f>
        <v>9816542</v>
      </c>
      <c r="I700" s="104"/>
      <c r="J700" s="1">
        <f>14373856-4259601+4259601-4151763-54318-1240137</f>
        <v>8927638</v>
      </c>
      <c r="K700" s="110"/>
      <c r="L700" s="120"/>
      <c r="M700" s="1">
        <f>14843838-5958222-2433640</f>
        <v>6451976</v>
      </c>
    </row>
    <row r="701" spans="1:13" ht="12">
      <c r="A701" s="11">
        <v>17</v>
      </c>
      <c r="C701" s="12" t="s">
        <v>31</v>
      </c>
      <c r="E701" s="11">
        <v>17</v>
      </c>
      <c r="F701" s="13"/>
      <c r="G701" s="104"/>
      <c r="H701" s="1">
        <v>1741751</v>
      </c>
      <c r="I701" s="104"/>
      <c r="J701" s="1">
        <f>5778343-1143301-21066+2754903+1143907-2685158-1114947-25125-14798</f>
        <v>4672758</v>
      </c>
      <c r="K701" s="110"/>
      <c r="L701" s="120"/>
      <c r="M701" s="1">
        <f>5046349-710000-132851-30000</f>
        <v>4173498</v>
      </c>
    </row>
    <row r="702" spans="1:13" ht="12">
      <c r="A702" s="11">
        <v>18</v>
      </c>
      <c r="C702" s="12" t="s">
        <v>32</v>
      </c>
      <c r="E702" s="11">
        <v>18</v>
      </c>
      <c r="F702" s="13"/>
      <c r="G702" s="104"/>
      <c r="H702" s="1"/>
      <c r="I702" s="104"/>
      <c r="J702" s="1">
        <f>132851-132851</f>
        <v>0</v>
      </c>
      <c r="K702" s="110"/>
      <c r="L702" s="120"/>
      <c r="M702" s="1"/>
    </row>
    <row r="703" spans="1:13" ht="12">
      <c r="A703" s="11">
        <v>19</v>
      </c>
      <c r="C703" s="12" t="s">
        <v>42</v>
      </c>
      <c r="E703" s="11">
        <v>19</v>
      </c>
      <c r="F703" s="13"/>
      <c r="G703" s="104"/>
      <c r="H703" s="1">
        <v>0</v>
      </c>
      <c r="I703" s="104"/>
      <c r="J703" s="1"/>
      <c r="K703" s="110"/>
      <c r="L703" s="120"/>
      <c r="M703" s="1">
        <v>0</v>
      </c>
    </row>
    <row r="704" spans="1:13" ht="12">
      <c r="A704" s="11">
        <v>20</v>
      </c>
      <c r="C704" s="12"/>
      <c r="E704" s="11">
        <v>20</v>
      </c>
      <c r="F704" s="13"/>
      <c r="G704" s="104"/>
      <c r="H704" s="1"/>
      <c r="I704" s="104"/>
      <c r="J704" s="1"/>
      <c r="K704" s="110"/>
      <c r="L704" s="120"/>
      <c r="M704" s="1"/>
    </row>
    <row r="705" spans="1:13" ht="12">
      <c r="A705" s="11">
        <v>21</v>
      </c>
      <c r="C705" s="12"/>
      <c r="E705" s="11">
        <v>21</v>
      </c>
      <c r="F705" s="13"/>
      <c r="G705" s="104"/>
      <c r="H705" s="1"/>
      <c r="I705" s="104"/>
      <c r="J705" s="1"/>
      <c r="K705" s="110"/>
      <c r="L705" s="120"/>
      <c r="M705" s="1"/>
    </row>
    <row r="706" spans="1:13" ht="12">
      <c r="A706" s="11">
        <v>22</v>
      </c>
      <c r="C706" s="12"/>
      <c r="E706" s="11">
        <v>22</v>
      </c>
      <c r="F706" s="13"/>
      <c r="G706" s="104"/>
      <c r="H706" s="1"/>
      <c r="I706" s="104"/>
      <c r="J706" s="1"/>
      <c r="K706" s="110"/>
      <c r="L706" s="120"/>
      <c r="M706" s="1"/>
    </row>
    <row r="707" spans="1:13" ht="12">
      <c r="A707" s="11">
        <v>23</v>
      </c>
      <c r="C707" s="12"/>
      <c r="E707" s="11">
        <v>23</v>
      </c>
      <c r="F707" s="13"/>
      <c r="G707" s="104"/>
      <c r="H707" s="1"/>
      <c r="I707" s="104"/>
      <c r="J707" s="1"/>
      <c r="K707" s="110"/>
      <c r="L707" s="120"/>
      <c r="M707" s="1"/>
    </row>
    <row r="708" spans="1:13" ht="12">
      <c r="A708" s="11">
        <v>24</v>
      </c>
      <c r="C708" s="12"/>
      <c r="E708" s="11">
        <v>24</v>
      </c>
      <c r="F708" s="13"/>
      <c r="G708" s="119"/>
      <c r="H708" s="98"/>
      <c r="I708" s="119"/>
      <c r="J708" s="98"/>
      <c r="K708" s="13"/>
      <c r="L708" s="122"/>
      <c r="M708" s="98"/>
    </row>
    <row r="709" spans="5:13" ht="12">
      <c r="E709" s="50"/>
      <c r="F709" s="90" t="s">
        <v>1</v>
      </c>
      <c r="G709" s="89"/>
      <c r="H709" s="90"/>
      <c r="I709" s="90" t="s">
        <v>1</v>
      </c>
      <c r="J709" s="23" t="s">
        <v>1</v>
      </c>
      <c r="K709" s="90" t="s">
        <v>1</v>
      </c>
      <c r="L709" s="123" t="s">
        <v>1</v>
      </c>
      <c r="M709" s="23" t="s">
        <v>1</v>
      </c>
    </row>
    <row r="710" spans="1:13" ht="13.5" customHeight="1">
      <c r="A710" s="11">
        <v>25</v>
      </c>
      <c r="C710" s="124" t="s">
        <v>243</v>
      </c>
      <c r="E710" s="11">
        <v>25</v>
      </c>
      <c r="G710" s="107">
        <f>SUM(G695:G708)</f>
        <v>211.79999999999998</v>
      </c>
      <c r="H710" s="100">
        <f>SUM(H695:H708)</f>
        <v>24232380</v>
      </c>
      <c r="I710" s="107">
        <f>SUM(I695:I708)</f>
        <v>218.06516893125024</v>
      </c>
      <c r="J710" s="100">
        <f>SUM(J695:J708)</f>
        <v>27791372</v>
      </c>
      <c r="K710" s="25"/>
      <c r="L710" s="121">
        <f>SUM(L695:L708)</f>
        <v>224.26000000000002</v>
      </c>
      <c r="M710" s="100">
        <f>SUM(M695:M708)</f>
        <v>25886495</v>
      </c>
    </row>
    <row r="711" spans="4:13" ht="12">
      <c r="D711" s="81"/>
      <c r="F711" s="90" t="s">
        <v>1</v>
      </c>
      <c r="G711" s="90"/>
      <c r="H711" s="90"/>
      <c r="I711" s="22"/>
      <c r="J711" s="23"/>
      <c r="K711" s="90"/>
      <c r="L711" s="123"/>
      <c r="M711" s="23"/>
    </row>
    <row r="712" spans="1:13" ht="12">
      <c r="A712" s="7" t="s">
        <v>629</v>
      </c>
      <c r="H712" s="65"/>
      <c r="I712" s="62"/>
      <c r="J712" s="65"/>
      <c r="K712" s="62"/>
      <c r="L712" s="62"/>
      <c r="M712" s="62"/>
    </row>
    <row r="713" ht="12">
      <c r="A713" s="12" t="s">
        <v>630</v>
      </c>
    </row>
    <row r="715" spans="1:13" s="46" customFormat="1" ht="12">
      <c r="A715" s="19" t="str">
        <f>$A$36</f>
        <v>Institution No.:  GFE</v>
      </c>
      <c r="E715" s="51"/>
      <c r="I715" s="52"/>
      <c r="J715" s="53"/>
      <c r="L715" s="52"/>
      <c r="M715" s="18" t="s">
        <v>44</v>
      </c>
    </row>
    <row r="716" spans="1:13" s="46" customFormat="1" ht="13.5" customHeight="1">
      <c r="A716" s="274" t="s">
        <v>154</v>
      </c>
      <c r="B716" s="274"/>
      <c r="C716" s="274"/>
      <c r="D716" s="274"/>
      <c r="E716" s="274"/>
      <c r="F716" s="274"/>
      <c r="G716" s="274"/>
      <c r="H716" s="274"/>
      <c r="I716" s="274"/>
      <c r="J716" s="274"/>
      <c r="K716" s="274"/>
      <c r="L716" s="274"/>
      <c r="M716" s="274"/>
    </row>
    <row r="717" spans="1:13" ht="12">
      <c r="A717" s="19" t="s">
        <v>664</v>
      </c>
      <c r="C717" s="7" t="s">
        <v>666</v>
      </c>
      <c r="F717" s="92"/>
      <c r="G717" s="92"/>
      <c r="H717" s="92"/>
      <c r="I717" s="85"/>
      <c r="J717" s="86"/>
      <c r="L717" s="17"/>
      <c r="M717" s="20" t="str">
        <f>$M$3</f>
        <v>Date: 10/1/2008</v>
      </c>
    </row>
    <row r="718" spans="1:13" ht="12">
      <c r="A718" s="21" t="s">
        <v>1</v>
      </c>
      <c r="B718" s="21" t="s">
        <v>1</v>
      </c>
      <c r="C718" s="21" t="s">
        <v>1</v>
      </c>
      <c r="D718" s="21" t="s">
        <v>1</v>
      </c>
      <c r="E718" s="21" t="s">
        <v>1</v>
      </c>
      <c r="F718" s="21" t="s">
        <v>1</v>
      </c>
      <c r="G718" s="21"/>
      <c r="H718" s="21"/>
      <c r="I718" s="22" t="s">
        <v>1</v>
      </c>
      <c r="J718" s="23" t="s">
        <v>1</v>
      </c>
      <c r="K718" s="21" t="s">
        <v>1</v>
      </c>
      <c r="L718" s="22" t="s">
        <v>1</v>
      </c>
      <c r="M718" s="23" t="s">
        <v>1</v>
      </c>
    </row>
    <row r="719" spans="1:13" ht="12">
      <c r="A719" s="24" t="s">
        <v>2</v>
      </c>
      <c r="E719" s="24" t="s">
        <v>2</v>
      </c>
      <c r="F719" s="25"/>
      <c r="G719" s="26"/>
      <c r="H719" s="25" t="s">
        <v>249</v>
      </c>
      <c r="I719" s="26"/>
      <c r="J719" s="27" t="s">
        <v>251</v>
      </c>
      <c r="K719" s="25"/>
      <c r="L719" s="26"/>
      <c r="M719" s="27" t="s">
        <v>260</v>
      </c>
    </row>
    <row r="720" spans="1:13" ht="12">
      <c r="A720" s="24" t="s">
        <v>4</v>
      </c>
      <c r="C720" s="28" t="s">
        <v>20</v>
      </c>
      <c r="E720" s="24" t="s">
        <v>4</v>
      </c>
      <c r="F720" s="25"/>
      <c r="G720" s="26" t="s">
        <v>6</v>
      </c>
      <c r="H720" s="27" t="s">
        <v>7</v>
      </c>
      <c r="I720" s="26" t="s">
        <v>6</v>
      </c>
      <c r="J720" s="27" t="s">
        <v>7</v>
      </c>
      <c r="K720" s="25"/>
      <c r="L720" s="26" t="s">
        <v>6</v>
      </c>
      <c r="M720" s="27" t="s">
        <v>8</v>
      </c>
    </row>
    <row r="721" spans="1:13" ht="12">
      <c r="A721" s="21" t="s">
        <v>1</v>
      </c>
      <c r="B721" s="21" t="s">
        <v>1</v>
      </c>
      <c r="C721" s="21" t="s">
        <v>1</v>
      </c>
      <c r="D721" s="21" t="s">
        <v>1</v>
      </c>
      <c r="E721" s="21" t="s">
        <v>1</v>
      </c>
      <c r="F721" s="21" t="s">
        <v>1</v>
      </c>
      <c r="G721" s="21"/>
      <c r="H721" s="21"/>
      <c r="I721" s="22"/>
      <c r="J721" s="23"/>
      <c r="K721" s="21"/>
      <c r="L721" s="22"/>
      <c r="M721" s="23"/>
    </row>
    <row r="722" spans="4:13" ht="12">
      <c r="D722" s="81"/>
      <c r="F722" s="90"/>
      <c r="G722" s="90"/>
      <c r="H722" s="31"/>
      <c r="I722" s="31"/>
      <c r="J722" s="31"/>
      <c r="K722" s="31"/>
      <c r="L722" s="31"/>
      <c r="M722" s="31"/>
    </row>
    <row r="723" spans="1:13" ht="12">
      <c r="A723" s="11">
        <v>26</v>
      </c>
      <c r="C723" s="12" t="s">
        <v>47</v>
      </c>
      <c r="E723" s="11">
        <v>26</v>
      </c>
      <c r="F723" s="13"/>
      <c r="G723" s="13"/>
      <c r="H723" s="110"/>
      <c r="I723" s="31"/>
      <c r="J723" s="110"/>
      <c r="K723" s="30"/>
      <c r="L723" s="31"/>
      <c r="M723" s="110"/>
    </row>
    <row r="724" spans="1:13" ht="12">
      <c r="A724" s="11">
        <v>27</v>
      </c>
      <c r="C724" s="12" t="s">
        <v>48</v>
      </c>
      <c r="E724" s="11">
        <v>27</v>
      </c>
      <c r="F724" s="13"/>
      <c r="G724" s="13"/>
      <c r="H724" s="2">
        <f>3038257+1028447+68333-8860-4000</f>
        <v>4122177</v>
      </c>
      <c r="I724" s="2"/>
      <c r="J724" s="2">
        <f>+H754</f>
        <v>4124333</v>
      </c>
      <c r="K724" s="2"/>
      <c r="L724" s="2"/>
      <c r="M724" s="2">
        <f>+J754</f>
        <v>5202866</v>
      </c>
    </row>
    <row r="725" spans="1:13" ht="12">
      <c r="A725" s="11">
        <v>28</v>
      </c>
      <c r="C725" s="12" t="s">
        <v>49</v>
      </c>
      <c r="E725" s="11">
        <v>28</v>
      </c>
      <c r="F725" s="13"/>
      <c r="G725" s="13"/>
      <c r="H725" s="2"/>
      <c r="I725" s="2"/>
      <c r="J725" s="2">
        <v>0</v>
      </c>
      <c r="K725" s="2"/>
      <c r="L725" s="2"/>
      <c r="M725" s="2">
        <v>0</v>
      </c>
    </row>
    <row r="726" spans="1:13" ht="12">
      <c r="A726" s="11">
        <v>29</v>
      </c>
      <c r="C726" s="13" t="s">
        <v>631</v>
      </c>
      <c r="E726" s="11">
        <v>29</v>
      </c>
      <c r="F726" s="13"/>
      <c r="G726" s="13"/>
      <c r="H726" s="2">
        <v>7356</v>
      </c>
      <c r="I726" s="2"/>
      <c r="J726" s="2"/>
      <c r="K726" s="2"/>
      <c r="L726" s="2"/>
      <c r="M726" s="2"/>
    </row>
    <row r="727" spans="1:13" ht="12">
      <c r="A727" s="11">
        <v>30</v>
      </c>
      <c r="C727" s="13" t="s">
        <v>632</v>
      </c>
      <c r="E727" s="11">
        <v>30</v>
      </c>
      <c r="F727" s="13"/>
      <c r="G727" s="13"/>
      <c r="H727" s="2"/>
      <c r="I727" s="2"/>
      <c r="J727" s="2">
        <v>68333</v>
      </c>
      <c r="K727" s="2"/>
      <c r="L727" s="2"/>
      <c r="M727" s="2"/>
    </row>
    <row r="728" spans="1:13" ht="12">
      <c r="A728" s="11">
        <v>31</v>
      </c>
      <c r="C728" s="13" t="s">
        <v>633</v>
      </c>
      <c r="E728" s="11">
        <v>31</v>
      </c>
      <c r="F728" s="13"/>
      <c r="G728" s="13"/>
      <c r="H728" s="2"/>
      <c r="I728" s="2"/>
      <c r="J728" s="2">
        <v>115251</v>
      </c>
      <c r="K728" s="2"/>
      <c r="L728" s="2"/>
      <c r="M728" s="2"/>
    </row>
    <row r="729" spans="1:13" ht="12">
      <c r="A729" s="11">
        <v>32</v>
      </c>
      <c r="C729" s="13" t="s">
        <v>634</v>
      </c>
      <c r="E729" s="11">
        <v>32</v>
      </c>
      <c r="H729" s="65"/>
      <c r="I729" s="2"/>
      <c r="J729" s="65">
        <v>275376</v>
      </c>
      <c r="K729" s="2"/>
      <c r="L729" s="2"/>
      <c r="M729" s="65"/>
    </row>
    <row r="730" spans="1:13" ht="12">
      <c r="A730" s="11">
        <v>33</v>
      </c>
      <c r="C730" s="13" t="s">
        <v>635</v>
      </c>
      <c r="E730" s="11">
        <v>33</v>
      </c>
      <c r="H730" s="65"/>
      <c r="I730" s="2"/>
      <c r="J730" s="65">
        <v>113005</v>
      </c>
      <c r="K730" s="2"/>
      <c r="L730" s="2"/>
      <c r="M730" s="65"/>
    </row>
    <row r="731" spans="1:13" ht="12">
      <c r="A731" s="11">
        <v>34</v>
      </c>
      <c r="C731" s="13" t="s">
        <v>636</v>
      </c>
      <c r="E731" s="11">
        <v>34</v>
      </c>
      <c r="H731" s="65"/>
      <c r="I731" s="2"/>
      <c r="J731" s="65">
        <v>204974</v>
      </c>
      <c r="K731" s="2"/>
      <c r="L731" s="2"/>
      <c r="M731" s="65"/>
    </row>
    <row r="732" spans="1:13" ht="12">
      <c r="A732" s="11"/>
      <c r="C732" s="13" t="s">
        <v>637</v>
      </c>
      <c r="E732" s="11"/>
      <c r="H732" s="65"/>
      <c r="I732" s="2"/>
      <c r="J732" s="65">
        <v>498200</v>
      </c>
      <c r="K732" s="2"/>
      <c r="L732" s="2"/>
      <c r="M732" s="65"/>
    </row>
    <row r="733" spans="1:13" ht="12">
      <c r="A733" s="11"/>
      <c r="C733" s="13" t="s">
        <v>638</v>
      </c>
      <c r="E733" s="11"/>
      <c r="H733" s="65"/>
      <c r="I733" s="2"/>
      <c r="J733" s="65"/>
      <c r="K733" s="2"/>
      <c r="L733" s="2"/>
      <c r="M733" s="65">
        <v>11130</v>
      </c>
    </row>
    <row r="734" spans="1:13" ht="12.75" customHeight="1">
      <c r="A734" s="11"/>
      <c r="C734" s="13" t="s">
        <v>639</v>
      </c>
      <c r="E734" s="11"/>
      <c r="H734" s="65"/>
      <c r="I734" s="2"/>
      <c r="J734" s="65"/>
      <c r="K734" s="2"/>
      <c r="L734" s="2"/>
      <c r="M734" s="65">
        <v>19475</v>
      </c>
    </row>
    <row r="735" spans="1:13" ht="12.75" customHeight="1">
      <c r="A735" s="11"/>
      <c r="C735" s="13" t="s">
        <v>640</v>
      </c>
      <c r="E735" s="11"/>
      <c r="H735" s="65"/>
      <c r="I735" s="2"/>
      <c r="J735" s="65"/>
      <c r="K735" s="2"/>
      <c r="L735" s="2"/>
      <c r="M735" s="65">
        <v>506000</v>
      </c>
    </row>
    <row r="736" spans="1:13" ht="12">
      <c r="A736" s="11">
        <v>35</v>
      </c>
      <c r="C736" s="12" t="s">
        <v>50</v>
      </c>
      <c r="E736" s="11">
        <v>35</v>
      </c>
      <c r="F736" s="13"/>
      <c r="G736" s="13"/>
      <c r="H736" s="2">
        <v>0</v>
      </c>
      <c r="I736" s="2"/>
      <c r="J736" s="2">
        <v>0</v>
      </c>
      <c r="K736" s="2"/>
      <c r="L736" s="2"/>
      <c r="M736" s="2">
        <v>0</v>
      </c>
    </row>
    <row r="737" spans="1:13" ht="12">
      <c r="A737" s="11">
        <v>36</v>
      </c>
      <c r="C737" s="12" t="s">
        <v>641</v>
      </c>
      <c r="E737" s="11">
        <v>36</v>
      </c>
      <c r="F737" s="13"/>
      <c r="G737" s="13"/>
      <c r="H737" s="2"/>
      <c r="I737" s="2"/>
      <c r="J737" s="2"/>
      <c r="K737" s="2"/>
      <c r="L737" s="2"/>
      <c r="M737" s="2"/>
    </row>
    <row r="738" spans="1:13" ht="12">
      <c r="A738" s="11">
        <v>37</v>
      </c>
      <c r="C738" s="12" t="s">
        <v>642</v>
      </c>
      <c r="E738" s="11">
        <v>37</v>
      </c>
      <c r="F738" s="13"/>
      <c r="G738" s="13"/>
      <c r="H738" s="2">
        <v>-5200</v>
      </c>
      <c r="I738" s="2"/>
      <c r="J738" s="2"/>
      <c r="K738" s="2"/>
      <c r="L738" s="2"/>
      <c r="M738" s="2"/>
    </row>
    <row r="739" spans="1:13" ht="12">
      <c r="A739" s="11">
        <v>38</v>
      </c>
      <c r="C739" s="12" t="s">
        <v>643</v>
      </c>
      <c r="E739" s="11">
        <v>38</v>
      </c>
      <c r="F739" s="13"/>
      <c r="G739" s="13"/>
      <c r="H739" s="2"/>
      <c r="I739" s="2"/>
      <c r="J739" s="2"/>
      <c r="K739" s="2"/>
      <c r="L739" s="2"/>
      <c r="M739" s="2">
        <v>-4000</v>
      </c>
    </row>
    <row r="740" spans="1:13" ht="12">
      <c r="A740" s="11">
        <v>39</v>
      </c>
      <c r="C740" s="12" t="s">
        <v>644</v>
      </c>
      <c r="E740" s="11">
        <v>39</v>
      </c>
      <c r="F740" s="13"/>
      <c r="G740" s="13"/>
      <c r="H740" s="2"/>
      <c r="I740" s="2"/>
      <c r="J740" s="2">
        <v>-92000</v>
      </c>
      <c r="K740" s="2"/>
      <c r="L740" s="2"/>
      <c r="M740" s="2"/>
    </row>
    <row r="741" spans="1:13" ht="12">
      <c r="A741" s="11">
        <v>40</v>
      </c>
      <c r="C741" s="13" t="s">
        <v>645</v>
      </c>
      <c r="E741" s="11">
        <v>40</v>
      </c>
      <c r="F741" s="13"/>
      <c r="G741" s="13"/>
      <c r="H741" s="2"/>
      <c r="I741" s="2"/>
      <c r="J741" s="2"/>
      <c r="K741" s="2"/>
      <c r="L741" s="2"/>
      <c r="M741" s="2">
        <v>-22800</v>
      </c>
    </row>
    <row r="742" spans="1:13" ht="12">
      <c r="A742" s="11">
        <v>41</v>
      </c>
      <c r="C742" s="13" t="s">
        <v>646</v>
      </c>
      <c r="E742" s="11">
        <v>41</v>
      </c>
      <c r="F742" s="13"/>
      <c r="G742" s="13"/>
      <c r="H742" s="2"/>
      <c r="I742" s="2"/>
      <c r="J742" s="2">
        <v>-35600</v>
      </c>
      <c r="K742" s="2"/>
      <c r="L742" s="2"/>
      <c r="M742" s="2"/>
    </row>
    <row r="743" spans="1:13" ht="12">
      <c r="A743" s="11">
        <v>42</v>
      </c>
      <c r="C743" s="13" t="s">
        <v>647</v>
      </c>
      <c r="E743" s="11">
        <v>42</v>
      </c>
      <c r="F743" s="13"/>
      <c r="G743" s="13"/>
      <c r="H743" s="2"/>
      <c r="I743" s="2"/>
      <c r="J743" s="2">
        <v>-57700</v>
      </c>
      <c r="K743" s="2"/>
      <c r="L743" s="2"/>
      <c r="M743" s="2"/>
    </row>
    <row r="744" spans="1:13" ht="12">
      <c r="A744" s="11">
        <v>43</v>
      </c>
      <c r="C744" s="13" t="s">
        <v>648</v>
      </c>
      <c r="E744" s="11">
        <v>43</v>
      </c>
      <c r="F744" s="13"/>
      <c r="G744" s="13"/>
      <c r="H744" s="2"/>
      <c r="I744" s="2"/>
      <c r="J744" s="2">
        <v>-11306</v>
      </c>
      <c r="K744" s="2"/>
      <c r="L744" s="2"/>
      <c r="M744" s="2"/>
    </row>
    <row r="745" spans="1:13" ht="12">
      <c r="A745" s="11">
        <v>44</v>
      </c>
      <c r="C745" s="13" t="s">
        <v>649</v>
      </c>
      <c r="E745" s="11">
        <v>44</v>
      </c>
      <c r="F745" s="13"/>
      <c r="G745" s="13"/>
      <c r="H745" s="2"/>
      <c r="I745" s="2"/>
      <c r="J745" s="2"/>
      <c r="K745" s="2"/>
      <c r="L745" s="2"/>
      <c r="M745" s="2">
        <v>-65500</v>
      </c>
    </row>
    <row r="746" spans="1:13" ht="12">
      <c r="A746" s="11">
        <v>45</v>
      </c>
      <c r="C746" s="13" t="s">
        <v>650</v>
      </c>
      <c r="E746" s="11">
        <v>45</v>
      </c>
      <c r="F746" s="13"/>
      <c r="G746" s="13"/>
      <c r="H746" s="2"/>
      <c r="I746" s="2"/>
      <c r="J746" s="2"/>
      <c r="K746" s="2"/>
      <c r="L746" s="2"/>
      <c r="M746" s="2">
        <v>-505000</v>
      </c>
    </row>
    <row r="747" spans="1:13" ht="12">
      <c r="A747" s="11">
        <v>46</v>
      </c>
      <c r="C747" s="13" t="s">
        <v>651</v>
      </c>
      <c r="E747" s="11">
        <v>46</v>
      </c>
      <c r="F747" s="13"/>
      <c r="G747" s="13"/>
      <c r="H747" s="2"/>
      <c r="I747" s="2"/>
      <c r="J747" s="2"/>
      <c r="K747" s="2"/>
      <c r="L747" s="2"/>
      <c r="M747" s="2">
        <v>-89700</v>
      </c>
    </row>
    <row r="748" spans="1:13" ht="12">
      <c r="A748" s="11">
        <v>47</v>
      </c>
      <c r="C748" s="13" t="s">
        <v>652</v>
      </c>
      <c r="E748" s="11">
        <v>47</v>
      </c>
      <c r="F748" s="13"/>
      <c r="G748" s="13"/>
      <c r="H748" s="2"/>
      <c r="I748" s="2"/>
      <c r="J748" s="2"/>
      <c r="K748" s="2"/>
      <c r="L748" s="2"/>
      <c r="M748" s="2">
        <v>-101000</v>
      </c>
    </row>
    <row r="749" spans="1:13" ht="12">
      <c r="A749" s="11">
        <v>48</v>
      </c>
      <c r="C749" s="13" t="s">
        <v>653</v>
      </c>
      <c r="E749" s="11">
        <v>48</v>
      </c>
      <c r="F749" s="13"/>
      <c r="G749" s="13"/>
      <c r="H749" s="2"/>
      <c r="I749" s="2"/>
      <c r="J749" s="2"/>
      <c r="K749" s="2"/>
      <c r="L749" s="2"/>
      <c r="M749" s="2">
        <v>-201000</v>
      </c>
    </row>
    <row r="750" spans="1:13" ht="12">
      <c r="A750" s="11">
        <v>49</v>
      </c>
      <c r="C750" s="13" t="s">
        <v>654</v>
      </c>
      <c r="E750" s="11">
        <v>49</v>
      </c>
      <c r="F750" s="13"/>
      <c r="G750" s="13"/>
      <c r="H750" s="2"/>
      <c r="I750" s="2"/>
      <c r="J750" s="2"/>
      <c r="K750" s="2"/>
      <c r="L750" s="2"/>
      <c r="M750" s="2">
        <v>-35900</v>
      </c>
    </row>
    <row r="751" spans="1:13" ht="12">
      <c r="A751" s="11">
        <v>50</v>
      </c>
      <c r="C751" s="13" t="s">
        <v>655</v>
      </c>
      <c r="E751" s="11">
        <v>50</v>
      </c>
      <c r="F751" s="13"/>
      <c r="G751" s="13"/>
      <c r="H751" s="2"/>
      <c r="I751" s="2"/>
      <c r="J751" s="2"/>
      <c r="K751" s="2"/>
      <c r="L751" s="2"/>
      <c r="M751" s="2">
        <v>-22500</v>
      </c>
    </row>
    <row r="752" spans="1:13" ht="12">
      <c r="A752" s="11">
        <v>51</v>
      </c>
      <c r="C752" s="13" t="s">
        <v>656</v>
      </c>
      <c r="E752" s="11">
        <v>51</v>
      </c>
      <c r="F752" s="13"/>
      <c r="G752" s="13"/>
      <c r="H752" s="2"/>
      <c r="I752" s="2"/>
      <c r="J752" s="2"/>
      <c r="K752" s="2"/>
      <c r="L752" s="2"/>
      <c r="M752" s="2">
        <v>-10950</v>
      </c>
    </row>
    <row r="753" spans="1:13" ht="12">
      <c r="A753" s="11">
        <v>52</v>
      </c>
      <c r="C753" s="13" t="s">
        <v>657</v>
      </c>
      <c r="E753" s="11">
        <v>52</v>
      </c>
      <c r="F753" s="13"/>
      <c r="G753" s="13"/>
      <c r="H753" s="2"/>
      <c r="I753" s="2"/>
      <c r="J753" s="2"/>
      <c r="K753" s="2"/>
      <c r="L753" s="2"/>
      <c r="M753" s="2">
        <v>-88400</v>
      </c>
    </row>
    <row r="754" spans="1:13" ht="12">
      <c r="A754" s="11">
        <v>53</v>
      </c>
      <c r="C754" s="12" t="s">
        <v>51</v>
      </c>
      <c r="E754" s="11">
        <v>53</v>
      </c>
      <c r="H754" s="65">
        <f>SUM(H724:H753)</f>
        <v>4124333</v>
      </c>
      <c r="I754" s="62"/>
      <c r="J754" s="65">
        <f>SUM(J724:J753)</f>
        <v>5202866</v>
      </c>
      <c r="K754" s="62"/>
      <c r="L754" s="62"/>
      <c r="M754" s="65">
        <f>SUM(M724:M753)</f>
        <v>4592721</v>
      </c>
    </row>
    <row r="755" spans="1:13" ht="12">
      <c r="A755" s="11">
        <v>54</v>
      </c>
      <c r="E755" s="11">
        <v>54</v>
      </c>
      <c r="F755" s="13"/>
      <c r="G755" s="13"/>
      <c r="H755" s="2"/>
      <c r="I755" s="62"/>
      <c r="J755" s="2"/>
      <c r="K755" s="62"/>
      <c r="L755" s="62"/>
      <c r="M755" s="2"/>
    </row>
    <row r="756" spans="1:13" ht="12">
      <c r="A756" s="11">
        <v>55</v>
      </c>
      <c r="C756" s="12" t="s">
        <v>52</v>
      </c>
      <c r="E756" s="11">
        <f>(E755+1)</f>
        <v>55</v>
      </c>
      <c r="F756" s="13"/>
      <c r="G756" s="13"/>
      <c r="H756" s="2">
        <v>160.4</v>
      </c>
      <c r="I756" s="2"/>
      <c r="J756" s="2">
        <v>160.4</v>
      </c>
      <c r="K756" s="2"/>
      <c r="L756" s="2"/>
      <c r="M756" s="2">
        <v>160.4</v>
      </c>
    </row>
    <row r="757" spans="1:13" ht="12">
      <c r="A757" s="11"/>
      <c r="C757" s="12"/>
      <c r="E757" s="11"/>
      <c r="F757" s="13"/>
      <c r="G757" s="13"/>
      <c r="H757" s="2"/>
      <c r="I757" s="2"/>
      <c r="J757" s="2"/>
      <c r="K757" s="2"/>
      <c r="L757" s="2"/>
      <c r="M757" s="2"/>
    </row>
    <row r="758" spans="1:13" ht="12">
      <c r="A758" s="11"/>
      <c r="C758" s="12"/>
      <c r="E758" s="11"/>
      <c r="F758" s="13"/>
      <c r="G758" s="13"/>
      <c r="H758" s="2"/>
      <c r="I758" s="2"/>
      <c r="J758" s="2"/>
      <c r="K758" s="2"/>
      <c r="L758" s="2"/>
      <c r="M758" s="2"/>
    </row>
    <row r="759" s="46" customFormat="1" ht="12"/>
    <row r="760" spans="1:13" s="46" customFormat="1" ht="12">
      <c r="A760" s="19" t="str">
        <f>$A$36</f>
        <v>Institution No.:  GFE</v>
      </c>
      <c r="E760" s="51"/>
      <c r="I760" s="52"/>
      <c r="J760" s="53"/>
      <c r="L760" s="52"/>
      <c r="M760" s="18" t="s">
        <v>53</v>
      </c>
    </row>
    <row r="761" spans="1:13" s="46" customFormat="1" ht="12">
      <c r="A761" s="274" t="s">
        <v>155</v>
      </c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</row>
    <row r="762" spans="1:13" ht="12">
      <c r="A762" s="19" t="s">
        <v>664</v>
      </c>
      <c r="C762" s="7" t="s">
        <v>666</v>
      </c>
      <c r="F762" s="92"/>
      <c r="G762" s="92"/>
      <c r="H762" s="92"/>
      <c r="I762" s="85"/>
      <c r="J762" s="86"/>
      <c r="L762" s="17"/>
      <c r="M762" s="20" t="str">
        <f>$M$3</f>
        <v>Date: 10/1/2008</v>
      </c>
    </row>
    <row r="763" spans="1:13" ht="12">
      <c r="A763" s="21" t="s">
        <v>1</v>
      </c>
      <c r="B763" s="21" t="s">
        <v>1</v>
      </c>
      <c r="C763" s="21" t="s">
        <v>1</v>
      </c>
      <c r="D763" s="21" t="s">
        <v>1</v>
      </c>
      <c r="E763" s="21" t="s">
        <v>1</v>
      </c>
      <c r="F763" s="21" t="s">
        <v>1</v>
      </c>
      <c r="G763" s="21"/>
      <c r="H763" s="21"/>
      <c r="I763" s="22" t="s">
        <v>1</v>
      </c>
      <c r="J763" s="23" t="s">
        <v>1</v>
      </c>
      <c r="K763" s="21" t="s">
        <v>1</v>
      </c>
      <c r="L763" s="22" t="s">
        <v>1</v>
      </c>
      <c r="M763" s="23" t="s">
        <v>1</v>
      </c>
    </row>
    <row r="764" spans="1:13" ht="12">
      <c r="A764" s="24" t="s">
        <v>2</v>
      </c>
      <c r="E764" s="24" t="s">
        <v>2</v>
      </c>
      <c r="F764" s="25"/>
      <c r="G764" s="26"/>
      <c r="H764" s="25" t="s">
        <v>249</v>
      </c>
      <c r="I764" s="26"/>
      <c r="J764" s="27" t="s">
        <v>251</v>
      </c>
      <c r="K764" s="25"/>
      <c r="L764" s="26"/>
      <c r="M764" s="27" t="s">
        <v>260</v>
      </c>
    </row>
    <row r="765" spans="1:13" ht="12">
      <c r="A765" s="24" t="s">
        <v>4</v>
      </c>
      <c r="C765" s="28" t="s">
        <v>20</v>
      </c>
      <c r="E765" s="24" t="s">
        <v>4</v>
      </c>
      <c r="H765" s="27" t="s">
        <v>7</v>
      </c>
      <c r="I765" s="17"/>
      <c r="J765" s="27" t="s">
        <v>7</v>
      </c>
      <c r="L765" s="17"/>
      <c r="M765" s="27" t="s">
        <v>8</v>
      </c>
    </row>
    <row r="766" spans="1:13" ht="12">
      <c r="A766" s="21" t="s">
        <v>1</v>
      </c>
      <c r="B766" s="21" t="s">
        <v>1</v>
      </c>
      <c r="C766" s="21" t="s">
        <v>1</v>
      </c>
      <c r="D766" s="21" t="s">
        <v>1</v>
      </c>
      <c r="E766" s="21" t="s">
        <v>1</v>
      </c>
      <c r="F766" s="21" t="s">
        <v>1</v>
      </c>
      <c r="G766" s="21"/>
      <c r="H766" s="21"/>
      <c r="I766" s="22" t="s">
        <v>1</v>
      </c>
      <c r="J766" s="23" t="s">
        <v>1</v>
      </c>
      <c r="K766" s="21" t="s">
        <v>1</v>
      </c>
      <c r="L766" s="22" t="s">
        <v>1</v>
      </c>
      <c r="M766" s="23" t="s">
        <v>1</v>
      </c>
    </row>
    <row r="767" spans="1:13" ht="12">
      <c r="A767" s="11">
        <v>1</v>
      </c>
      <c r="C767" s="12" t="s">
        <v>54</v>
      </c>
      <c r="E767" s="11">
        <v>1</v>
      </c>
      <c r="F767" s="13"/>
      <c r="G767" s="13"/>
      <c r="H767" s="1">
        <v>2109472</v>
      </c>
      <c r="I767" s="1"/>
      <c r="J767" s="1">
        <f>-6322915-749+6965659+46403+781568</f>
        <v>1469966</v>
      </c>
      <c r="K767" s="1"/>
      <c r="L767" s="1"/>
      <c r="M767" s="1">
        <f>628552+29406+19250+1805460+1000-687492</f>
        <v>1796176</v>
      </c>
    </row>
    <row r="768" spans="1:13" ht="12">
      <c r="A768" s="11">
        <f aca="true" t="shared" si="11" ref="A768:A785">(A767+1)</f>
        <v>2</v>
      </c>
      <c r="C768" s="13"/>
      <c r="E768" s="11">
        <f aca="true" t="shared" si="12" ref="E768:E785">(E767+1)</f>
        <v>2</v>
      </c>
      <c r="F768" s="13"/>
      <c r="G768" s="13"/>
      <c r="H768" s="13"/>
      <c r="I768" s="14"/>
      <c r="J768" s="15"/>
      <c r="K768" s="13"/>
      <c r="L768" s="14"/>
      <c r="M768" s="15"/>
    </row>
    <row r="769" spans="1:13" ht="12">
      <c r="A769" s="11">
        <f t="shared" si="11"/>
        <v>3</v>
      </c>
      <c r="C769" s="13"/>
      <c r="E769" s="11">
        <f t="shared" si="12"/>
        <v>3</v>
      </c>
      <c r="F769" s="13"/>
      <c r="G769" s="13"/>
      <c r="H769" s="13"/>
      <c r="I769" s="14"/>
      <c r="J769" s="15"/>
      <c r="K769" s="13"/>
      <c r="L769" s="14"/>
      <c r="M769" s="15"/>
    </row>
    <row r="770" spans="1:13" ht="12">
      <c r="A770" s="11">
        <f t="shared" si="11"/>
        <v>4</v>
      </c>
      <c r="C770" s="13"/>
      <c r="E770" s="11">
        <f t="shared" si="12"/>
        <v>4</v>
      </c>
      <c r="F770" s="13"/>
      <c r="G770" s="13"/>
      <c r="H770" s="13"/>
      <c r="I770" s="14"/>
      <c r="J770" s="15"/>
      <c r="K770" s="13"/>
      <c r="L770" s="14"/>
      <c r="M770" s="15"/>
    </row>
    <row r="771" spans="1:13" ht="12">
      <c r="A771" s="11">
        <f t="shared" si="11"/>
        <v>5</v>
      </c>
      <c r="C771" s="13"/>
      <c r="E771" s="11">
        <f t="shared" si="12"/>
        <v>5</v>
      </c>
      <c r="F771" s="13"/>
      <c r="G771" s="13"/>
      <c r="H771" s="13"/>
      <c r="I771" s="14"/>
      <c r="J771" s="15"/>
      <c r="K771" s="13"/>
      <c r="L771" s="14"/>
      <c r="M771" s="15"/>
    </row>
    <row r="772" spans="1:13" ht="12">
      <c r="A772" s="11">
        <f t="shared" si="11"/>
        <v>6</v>
      </c>
      <c r="C772" s="13"/>
      <c r="E772" s="11">
        <f t="shared" si="12"/>
        <v>6</v>
      </c>
      <c r="F772" s="13"/>
      <c r="G772" s="13"/>
      <c r="H772" s="13"/>
      <c r="I772" s="14"/>
      <c r="J772" s="15"/>
      <c r="K772" s="13"/>
      <c r="L772" s="14"/>
      <c r="M772" s="15"/>
    </row>
    <row r="773" spans="1:13" ht="12">
      <c r="A773" s="11">
        <f t="shared" si="11"/>
        <v>7</v>
      </c>
      <c r="C773" s="13"/>
      <c r="E773" s="11">
        <f t="shared" si="12"/>
        <v>7</v>
      </c>
      <c r="F773" s="13"/>
      <c r="G773" s="13"/>
      <c r="H773" s="13"/>
      <c r="I773" s="14"/>
      <c r="J773" s="15"/>
      <c r="K773" s="13"/>
      <c r="L773" s="14"/>
      <c r="M773" s="15"/>
    </row>
    <row r="774" spans="1:13" ht="12">
      <c r="A774" s="11">
        <f t="shared" si="11"/>
        <v>8</v>
      </c>
      <c r="C774" s="13"/>
      <c r="E774" s="11">
        <f t="shared" si="12"/>
        <v>8</v>
      </c>
      <c r="F774" s="13"/>
      <c r="G774" s="13"/>
      <c r="H774" s="13"/>
      <c r="I774" s="14"/>
      <c r="J774" s="15"/>
      <c r="K774" s="13"/>
      <c r="L774" s="14"/>
      <c r="M774" s="15"/>
    </row>
    <row r="775" spans="1:13" ht="12">
      <c r="A775" s="11">
        <f t="shared" si="11"/>
        <v>9</v>
      </c>
      <c r="C775" s="13"/>
      <c r="E775" s="11">
        <f t="shared" si="12"/>
        <v>9</v>
      </c>
      <c r="F775" s="13"/>
      <c r="G775" s="13"/>
      <c r="H775" s="13"/>
      <c r="I775" s="14"/>
      <c r="J775" s="15"/>
      <c r="K775" s="13"/>
      <c r="L775" s="14"/>
      <c r="M775" s="15"/>
    </row>
    <row r="776" spans="1:13" ht="12">
      <c r="A776" s="11">
        <f t="shared" si="11"/>
        <v>10</v>
      </c>
      <c r="C776" s="13"/>
      <c r="E776" s="11">
        <f t="shared" si="12"/>
        <v>10</v>
      </c>
      <c r="F776" s="13"/>
      <c r="G776" s="13"/>
      <c r="H776" s="13"/>
      <c r="I776" s="14"/>
      <c r="J776" s="15"/>
      <c r="K776" s="13"/>
      <c r="L776" s="14"/>
      <c r="M776" s="15"/>
    </row>
    <row r="777" spans="1:13" ht="12">
      <c r="A777" s="11">
        <f t="shared" si="11"/>
        <v>11</v>
      </c>
      <c r="C777" s="13"/>
      <c r="E777" s="11">
        <f t="shared" si="12"/>
        <v>11</v>
      </c>
      <c r="I777" s="14"/>
      <c r="J777" s="15"/>
      <c r="K777" s="13"/>
      <c r="L777" s="14"/>
      <c r="M777" s="15"/>
    </row>
    <row r="778" spans="1:13" ht="12">
      <c r="A778" s="11">
        <f t="shared" si="11"/>
        <v>12</v>
      </c>
      <c r="C778" s="13"/>
      <c r="E778" s="11">
        <f t="shared" si="12"/>
        <v>12</v>
      </c>
      <c r="I778" s="14"/>
      <c r="J778" s="15"/>
      <c r="K778" s="13"/>
      <c r="L778" s="14"/>
      <c r="M778" s="15"/>
    </row>
    <row r="779" spans="1:13" ht="12">
      <c r="A779" s="11">
        <f t="shared" si="11"/>
        <v>13</v>
      </c>
      <c r="C779" s="13"/>
      <c r="E779" s="11">
        <f t="shared" si="12"/>
        <v>13</v>
      </c>
      <c r="F779" s="13"/>
      <c r="G779" s="13"/>
      <c r="H779" s="13"/>
      <c r="I779" s="14"/>
      <c r="J779" s="15"/>
      <c r="K779" s="13"/>
      <c r="L779" s="14"/>
      <c r="M779" s="15"/>
    </row>
    <row r="780" spans="1:13" ht="12">
      <c r="A780" s="11">
        <f t="shared" si="11"/>
        <v>14</v>
      </c>
      <c r="C780" s="13"/>
      <c r="E780" s="11">
        <f t="shared" si="12"/>
        <v>14</v>
      </c>
      <c r="F780" s="13"/>
      <c r="G780" s="13"/>
      <c r="H780" s="13"/>
      <c r="I780" s="14"/>
      <c r="J780" s="15"/>
      <c r="K780" s="13"/>
      <c r="L780" s="14"/>
      <c r="M780" s="15"/>
    </row>
    <row r="781" spans="1:13" ht="12">
      <c r="A781" s="11">
        <f t="shared" si="11"/>
        <v>15</v>
      </c>
      <c r="C781" s="13"/>
      <c r="E781" s="11">
        <f t="shared" si="12"/>
        <v>15</v>
      </c>
      <c r="F781" s="13"/>
      <c r="G781" s="13"/>
      <c r="H781" s="13"/>
      <c r="I781" s="14"/>
      <c r="J781" s="15"/>
      <c r="K781" s="13"/>
      <c r="L781" s="14"/>
      <c r="M781" s="15"/>
    </row>
    <row r="782" spans="1:13" ht="12">
      <c r="A782" s="11">
        <f t="shared" si="11"/>
        <v>16</v>
      </c>
      <c r="C782" s="13"/>
      <c r="E782" s="11">
        <f t="shared" si="12"/>
        <v>16</v>
      </c>
      <c r="F782" s="13"/>
      <c r="G782" s="13"/>
      <c r="H782" s="13"/>
      <c r="I782" s="14"/>
      <c r="J782" s="15"/>
      <c r="K782" s="13"/>
      <c r="L782" s="14"/>
      <c r="M782" s="15"/>
    </row>
    <row r="783" spans="1:13" ht="12">
      <c r="A783" s="11">
        <f t="shared" si="11"/>
        <v>17</v>
      </c>
      <c r="C783" s="13"/>
      <c r="E783" s="11">
        <f t="shared" si="12"/>
        <v>17</v>
      </c>
      <c r="F783" s="13"/>
      <c r="G783" s="13"/>
      <c r="H783" s="13"/>
      <c r="I783" s="14"/>
      <c r="J783" s="15"/>
      <c r="K783" s="13"/>
      <c r="L783" s="14"/>
      <c r="M783" s="15"/>
    </row>
    <row r="784" spans="1:13" ht="12">
      <c r="A784" s="11">
        <f t="shared" si="11"/>
        <v>18</v>
      </c>
      <c r="C784" s="13"/>
      <c r="E784" s="11">
        <f t="shared" si="12"/>
        <v>18</v>
      </c>
      <c r="F784" s="13"/>
      <c r="G784" s="13"/>
      <c r="H784" s="13"/>
      <c r="I784" s="14"/>
      <c r="J784" s="15"/>
      <c r="K784" s="13"/>
      <c r="L784" s="14"/>
      <c r="M784" s="15"/>
    </row>
    <row r="785" spans="1:13" ht="12">
      <c r="A785" s="11">
        <f t="shared" si="11"/>
        <v>19</v>
      </c>
      <c r="C785" s="13"/>
      <c r="E785" s="11">
        <f t="shared" si="12"/>
        <v>19</v>
      </c>
      <c r="F785" s="13"/>
      <c r="G785" s="13"/>
      <c r="H785" s="13"/>
      <c r="I785" s="14"/>
      <c r="J785" s="15"/>
      <c r="K785" s="13"/>
      <c r="L785" s="14"/>
      <c r="M785" s="15"/>
    </row>
    <row r="786" spans="1:13" ht="12">
      <c r="A786" s="11">
        <v>20</v>
      </c>
      <c r="E786" s="11">
        <v>20</v>
      </c>
      <c r="F786" s="90"/>
      <c r="G786" s="90"/>
      <c r="H786" s="90"/>
      <c r="I786" s="22"/>
      <c r="J786" s="23"/>
      <c r="K786" s="90"/>
      <c r="L786" s="22"/>
      <c r="M786" s="23"/>
    </row>
    <row r="787" spans="1:13" ht="12">
      <c r="A787" s="11">
        <v>21</v>
      </c>
      <c r="E787" s="11">
        <v>21</v>
      </c>
      <c r="F787" s="90"/>
      <c r="G787" s="90"/>
      <c r="H787" s="90"/>
      <c r="I787" s="22"/>
      <c r="J787" s="55"/>
      <c r="K787" s="90"/>
      <c r="L787" s="22"/>
      <c r="M787" s="55"/>
    </row>
    <row r="788" spans="1:13" ht="12">
      <c r="A788" s="11">
        <v>22</v>
      </c>
      <c r="E788" s="11">
        <v>22</v>
      </c>
      <c r="I788" s="17"/>
      <c r="J788" s="55"/>
      <c r="L788" s="17"/>
      <c r="M788" s="55"/>
    </row>
    <row r="789" spans="1:13" ht="12">
      <c r="A789" s="11">
        <v>23</v>
      </c>
      <c r="D789" s="81"/>
      <c r="E789" s="11">
        <v>23</v>
      </c>
      <c r="J789" s="55"/>
      <c r="M789" s="55"/>
    </row>
    <row r="790" spans="1:13" ht="12">
      <c r="A790" s="11">
        <v>24</v>
      </c>
      <c r="D790" s="81"/>
      <c r="E790" s="11">
        <v>24</v>
      </c>
      <c r="J790" s="55"/>
      <c r="M790" s="55"/>
    </row>
    <row r="791" spans="6:13" ht="12">
      <c r="F791" s="90" t="s">
        <v>1</v>
      </c>
      <c r="G791" s="90"/>
      <c r="H791" s="90"/>
      <c r="I791" s="22" t="s">
        <v>1</v>
      </c>
      <c r="J791" s="23"/>
      <c r="K791" s="90"/>
      <c r="L791" s="22"/>
      <c r="M791" s="23"/>
    </row>
    <row r="792" spans="1:13" ht="13.5" customHeight="1">
      <c r="A792" s="11">
        <v>25</v>
      </c>
      <c r="C792" s="12" t="s">
        <v>240</v>
      </c>
      <c r="E792" s="11">
        <v>25</v>
      </c>
      <c r="H792" s="100">
        <f>SUM(H767:H790)</f>
        <v>2109472</v>
      </c>
      <c r="I792" s="101"/>
      <c r="J792" s="100">
        <f>SUM(J767:J790)</f>
        <v>1469966</v>
      </c>
      <c r="K792" s="100"/>
      <c r="L792" s="101"/>
      <c r="M792" s="100">
        <f>SUM(M767:M790)</f>
        <v>1796176</v>
      </c>
    </row>
    <row r="793" spans="4:13" ht="12">
      <c r="D793" s="81"/>
      <c r="F793" s="90" t="s">
        <v>1</v>
      </c>
      <c r="G793" s="90"/>
      <c r="H793" s="90"/>
      <c r="I793" s="22" t="s">
        <v>1</v>
      </c>
      <c r="J793" s="23"/>
      <c r="K793" s="90"/>
      <c r="L793" s="22"/>
      <c r="M793" s="23"/>
    </row>
    <row r="794" spans="3:13" ht="12">
      <c r="C794" s="7" t="s">
        <v>658</v>
      </c>
      <c r="F794" s="90"/>
      <c r="G794" s="90"/>
      <c r="H794" s="90"/>
      <c r="I794" s="22"/>
      <c r="J794" s="23"/>
      <c r="K794" s="90"/>
      <c r="L794" s="22"/>
      <c r="M794" s="23"/>
    </row>
    <row r="795" spans="9:13" ht="12">
      <c r="I795" s="17"/>
      <c r="J795" s="55"/>
      <c r="L795" s="17"/>
      <c r="M795" s="55"/>
    </row>
    <row r="796" spans="9:13" ht="12">
      <c r="I796" s="17"/>
      <c r="J796" s="55"/>
      <c r="L796" s="17"/>
      <c r="M796" s="55"/>
    </row>
    <row r="797" ht="12">
      <c r="A797" s="12"/>
    </row>
    <row r="799" spans="1:13" s="46" customFormat="1" ht="12">
      <c r="A799" s="19" t="str">
        <f>$A$36</f>
        <v>Institution No.:  GFE</v>
      </c>
      <c r="E799" s="51"/>
      <c r="I799" s="52"/>
      <c r="J799" s="53"/>
      <c r="L799" s="52"/>
      <c r="M799" s="18" t="s">
        <v>55</v>
      </c>
    </row>
    <row r="800" spans="1:13" s="46" customFormat="1" ht="12">
      <c r="A800" s="274" t="s">
        <v>156</v>
      </c>
      <c r="B800" s="274"/>
      <c r="C800" s="274"/>
      <c r="D800" s="274"/>
      <c r="E800" s="274"/>
      <c r="F800" s="274"/>
      <c r="G800" s="274"/>
      <c r="H800" s="274"/>
      <c r="I800" s="274"/>
      <c r="J800" s="274"/>
      <c r="K800" s="274"/>
      <c r="L800" s="274"/>
      <c r="M800" s="274"/>
    </row>
    <row r="801" spans="1:13" ht="12">
      <c r="A801" s="19" t="s">
        <v>664</v>
      </c>
      <c r="C801" s="7" t="s">
        <v>666</v>
      </c>
      <c r="I801" s="125"/>
      <c r="J801" s="55"/>
      <c r="L801" s="17"/>
      <c r="M801" s="20" t="str">
        <f>$M$3</f>
        <v>Date: 10/1/2008</v>
      </c>
    </row>
    <row r="802" spans="1:13" ht="12">
      <c r="A802" s="21" t="s">
        <v>1</v>
      </c>
      <c r="B802" s="21" t="s">
        <v>1</v>
      </c>
      <c r="C802" s="21" t="s">
        <v>1</v>
      </c>
      <c r="D802" s="21" t="s">
        <v>1</v>
      </c>
      <c r="E802" s="21" t="s">
        <v>1</v>
      </c>
      <c r="F802" s="21" t="s">
        <v>1</v>
      </c>
      <c r="G802" s="21"/>
      <c r="H802" s="21"/>
      <c r="I802" s="22" t="s">
        <v>1</v>
      </c>
      <c r="J802" s="23" t="s">
        <v>1</v>
      </c>
      <c r="K802" s="21" t="s">
        <v>1</v>
      </c>
      <c r="L802" s="22" t="s">
        <v>1</v>
      </c>
      <c r="M802" s="23" t="s">
        <v>1</v>
      </c>
    </row>
    <row r="803" spans="1:13" ht="12">
      <c r="A803" s="24" t="s">
        <v>2</v>
      </c>
      <c r="E803" s="24" t="s">
        <v>2</v>
      </c>
      <c r="F803" s="25"/>
      <c r="G803" s="26"/>
      <c r="H803" s="25" t="s">
        <v>249</v>
      </c>
      <c r="I803" s="26"/>
      <c r="J803" s="27" t="s">
        <v>251</v>
      </c>
      <c r="K803" s="25"/>
      <c r="L803" s="26"/>
      <c r="M803" s="27" t="s">
        <v>260</v>
      </c>
    </row>
    <row r="804" spans="1:13" ht="12">
      <c r="A804" s="24" t="s">
        <v>4</v>
      </c>
      <c r="C804" s="28" t="s">
        <v>20</v>
      </c>
      <c r="E804" s="24" t="s">
        <v>4</v>
      </c>
      <c r="F804" s="25"/>
      <c r="G804" s="26" t="s">
        <v>21</v>
      </c>
      <c r="H804" s="27" t="s">
        <v>7</v>
      </c>
      <c r="I804" s="26" t="s">
        <v>21</v>
      </c>
      <c r="J804" s="27" t="s">
        <v>7</v>
      </c>
      <c r="K804" s="25"/>
      <c r="L804" s="26" t="s">
        <v>21</v>
      </c>
      <c r="M804" s="27" t="s">
        <v>8</v>
      </c>
    </row>
    <row r="805" spans="1:13" ht="12">
      <c r="A805" s="21" t="s">
        <v>1</v>
      </c>
      <c r="B805" s="21" t="s">
        <v>1</v>
      </c>
      <c r="C805" s="21" t="s">
        <v>1</v>
      </c>
      <c r="D805" s="21" t="s">
        <v>1</v>
      </c>
      <c r="E805" s="21" t="s">
        <v>1</v>
      </c>
      <c r="F805" s="21" t="s">
        <v>1</v>
      </c>
      <c r="G805" s="21"/>
      <c r="H805" s="21"/>
      <c r="I805" s="22" t="s">
        <v>1</v>
      </c>
      <c r="J805" s="23" t="s">
        <v>1</v>
      </c>
      <c r="K805" s="21" t="s">
        <v>1</v>
      </c>
      <c r="L805" s="22" t="s">
        <v>1</v>
      </c>
      <c r="M805" s="23" t="s">
        <v>1</v>
      </c>
    </row>
    <row r="806" spans="1:13" ht="12">
      <c r="A806" s="11">
        <v>1</v>
      </c>
      <c r="C806" s="12" t="s">
        <v>36</v>
      </c>
      <c r="E806" s="11">
        <v>1</v>
      </c>
      <c r="F806" s="13"/>
      <c r="G806" s="105">
        <v>0</v>
      </c>
      <c r="H806" s="1">
        <v>0</v>
      </c>
      <c r="I806" s="105">
        <v>0</v>
      </c>
      <c r="J806" s="1">
        <v>0</v>
      </c>
      <c r="K806" s="110"/>
      <c r="L806" s="105">
        <v>0</v>
      </c>
      <c r="M806" s="1">
        <v>0</v>
      </c>
    </row>
    <row r="807" spans="1:13" ht="12">
      <c r="A807" s="11">
        <v>2</v>
      </c>
      <c r="C807" s="12" t="s">
        <v>37</v>
      </c>
      <c r="E807" s="11">
        <v>2</v>
      </c>
      <c r="F807" s="13"/>
      <c r="G807" s="105"/>
      <c r="H807" s="1">
        <v>0</v>
      </c>
      <c r="I807" s="105"/>
      <c r="J807" s="1"/>
      <c r="K807" s="110"/>
      <c r="L807" s="105"/>
      <c r="M807" s="1">
        <v>0</v>
      </c>
    </row>
    <row r="808" spans="1:13" ht="12">
      <c r="A808" s="11">
        <v>3</v>
      </c>
      <c r="E808" s="11">
        <v>3</v>
      </c>
      <c r="F808" s="13"/>
      <c r="G808" s="105"/>
      <c r="H808" s="1"/>
      <c r="I808" s="105"/>
      <c r="J808" s="1"/>
      <c r="K808" s="110"/>
      <c r="L808" s="105"/>
      <c r="M808" s="1"/>
    </row>
    <row r="809" spans="1:13" ht="12">
      <c r="A809" s="11">
        <v>4</v>
      </c>
      <c r="C809" s="12" t="s">
        <v>23</v>
      </c>
      <c r="E809" s="11">
        <v>4</v>
      </c>
      <c r="F809" s="13"/>
      <c r="G809" s="105">
        <v>0</v>
      </c>
      <c r="H809" s="1">
        <f>SUM(H806:H808)</f>
        <v>0</v>
      </c>
      <c r="I809" s="105">
        <v>0</v>
      </c>
      <c r="J809" s="1">
        <f>SUM(J806:J808)</f>
        <v>0</v>
      </c>
      <c r="K809" s="30"/>
      <c r="L809" s="105">
        <v>0</v>
      </c>
      <c r="M809" s="1">
        <f>SUM(M806:M808)</f>
        <v>0</v>
      </c>
    </row>
    <row r="810" spans="1:13" ht="12">
      <c r="A810" s="11">
        <v>5</v>
      </c>
      <c r="E810" s="11">
        <v>5</v>
      </c>
      <c r="F810" s="13"/>
      <c r="G810" s="105"/>
      <c r="H810" s="1"/>
      <c r="I810" s="105"/>
      <c r="J810" s="1"/>
      <c r="K810" s="30"/>
      <c r="L810" s="105"/>
      <c r="M810" s="1"/>
    </row>
    <row r="811" spans="1:13" ht="12">
      <c r="A811" s="11">
        <v>6</v>
      </c>
      <c r="E811" s="11">
        <v>6</v>
      </c>
      <c r="F811" s="13"/>
      <c r="G811" s="105"/>
      <c r="H811" s="1"/>
      <c r="I811" s="105"/>
      <c r="J811" s="1"/>
      <c r="K811" s="30"/>
      <c r="L811" s="105"/>
      <c r="M811" s="1"/>
    </row>
    <row r="812" spans="1:13" ht="12">
      <c r="A812" s="11">
        <v>7</v>
      </c>
      <c r="C812" s="12" t="s">
        <v>25</v>
      </c>
      <c r="E812" s="11">
        <v>7</v>
      </c>
      <c r="F812" s="13"/>
      <c r="G812" s="105">
        <v>0</v>
      </c>
      <c r="H812" s="1">
        <v>0</v>
      </c>
      <c r="I812" s="105">
        <v>0</v>
      </c>
      <c r="J812" s="1">
        <v>0</v>
      </c>
      <c r="K812" s="110"/>
      <c r="L812" s="105">
        <v>0</v>
      </c>
      <c r="M812" s="1">
        <v>0</v>
      </c>
    </row>
    <row r="813" spans="1:13" ht="12">
      <c r="A813" s="11">
        <v>8</v>
      </c>
      <c r="C813" s="12" t="s">
        <v>26</v>
      </c>
      <c r="E813" s="11">
        <v>8</v>
      </c>
      <c r="F813" s="13"/>
      <c r="G813" s="105"/>
      <c r="H813" s="1">
        <v>0</v>
      </c>
      <c r="I813" s="105"/>
      <c r="J813" s="1">
        <v>0</v>
      </c>
      <c r="K813" s="110"/>
      <c r="L813" s="105"/>
      <c r="M813" s="1">
        <v>0</v>
      </c>
    </row>
    <row r="814" spans="1:13" ht="12">
      <c r="A814" s="11">
        <v>9</v>
      </c>
      <c r="C814" s="12" t="s">
        <v>27</v>
      </c>
      <c r="E814" s="11">
        <v>9</v>
      </c>
      <c r="F814" s="13"/>
      <c r="G814" s="105">
        <v>0</v>
      </c>
      <c r="H814" s="1">
        <f>SUM(H812:H813)</f>
        <v>0</v>
      </c>
      <c r="I814" s="105">
        <v>0</v>
      </c>
      <c r="J814" s="1">
        <f>SUM(J812:J813)</f>
        <v>0</v>
      </c>
      <c r="K814" s="30"/>
      <c r="L814" s="105">
        <v>0</v>
      </c>
      <c r="M814" s="1">
        <f>SUM(M812:M813)</f>
        <v>0</v>
      </c>
    </row>
    <row r="815" spans="1:13" ht="12">
      <c r="A815" s="11">
        <v>10</v>
      </c>
      <c r="E815" s="11">
        <v>10</v>
      </c>
      <c r="F815" s="13"/>
      <c r="G815" s="105"/>
      <c r="H815" s="1"/>
      <c r="I815" s="105"/>
      <c r="J815" s="1"/>
      <c r="K815" s="30"/>
      <c r="L815" s="105"/>
      <c r="M815" s="1"/>
    </row>
    <row r="816" spans="1:13" ht="12">
      <c r="A816" s="11">
        <v>11</v>
      </c>
      <c r="C816" s="12" t="s">
        <v>28</v>
      </c>
      <c r="E816" s="11">
        <v>11</v>
      </c>
      <c r="F816" s="13"/>
      <c r="G816" s="105">
        <v>0</v>
      </c>
      <c r="H816" s="1">
        <f>SUM(H814,H809)</f>
        <v>0</v>
      </c>
      <c r="I816" s="105">
        <v>0</v>
      </c>
      <c r="J816" s="1">
        <f>SUM(J814,J809)</f>
        <v>0</v>
      </c>
      <c r="K816" s="30"/>
      <c r="L816" s="105">
        <v>0</v>
      </c>
      <c r="M816" s="1">
        <f>SUM(M814,M809)</f>
        <v>0</v>
      </c>
    </row>
    <row r="817" spans="1:13" ht="12">
      <c r="A817" s="11">
        <v>12</v>
      </c>
      <c r="E817" s="11">
        <v>12</v>
      </c>
      <c r="F817" s="13"/>
      <c r="G817" s="105"/>
      <c r="H817" s="1"/>
      <c r="I817" s="105"/>
      <c r="J817" s="1"/>
      <c r="K817" s="30"/>
      <c r="L817" s="105"/>
      <c r="M817" s="1"/>
    </row>
    <row r="818" spans="1:13" ht="12">
      <c r="A818" s="11">
        <v>13</v>
      </c>
      <c r="C818" s="12" t="s">
        <v>38</v>
      </c>
      <c r="E818" s="11">
        <v>13</v>
      </c>
      <c r="F818" s="13"/>
      <c r="G818" s="105"/>
      <c r="H818" s="1">
        <v>0</v>
      </c>
      <c r="I818" s="105"/>
      <c r="J818" s="1">
        <v>0</v>
      </c>
      <c r="K818" s="110"/>
      <c r="L818" s="105"/>
      <c r="M818" s="1">
        <v>0</v>
      </c>
    </row>
    <row r="819" spans="1:13" ht="12">
      <c r="A819" s="11">
        <v>14</v>
      </c>
      <c r="E819" s="11">
        <v>14</v>
      </c>
      <c r="F819" s="13"/>
      <c r="G819" s="105"/>
      <c r="H819" s="1"/>
      <c r="I819" s="105"/>
      <c r="J819" s="1"/>
      <c r="K819" s="110"/>
      <c r="L819" s="105"/>
      <c r="M819" s="1"/>
    </row>
    <row r="820" spans="1:13" ht="12">
      <c r="A820" s="11">
        <v>15</v>
      </c>
      <c r="C820" s="12" t="s">
        <v>30</v>
      </c>
      <c r="E820" s="11">
        <v>15</v>
      </c>
      <c r="F820" s="13"/>
      <c r="G820" s="105"/>
      <c r="H820" s="1">
        <v>0</v>
      </c>
      <c r="I820" s="105"/>
      <c r="J820" s="1">
        <v>0</v>
      </c>
      <c r="K820" s="110"/>
      <c r="L820" s="105"/>
      <c r="M820" s="1">
        <v>0</v>
      </c>
    </row>
    <row r="821" spans="1:13" ht="12">
      <c r="A821" s="11">
        <v>16</v>
      </c>
      <c r="C821" s="12" t="s">
        <v>31</v>
      </c>
      <c r="E821" s="11">
        <v>16</v>
      </c>
      <c r="F821" s="13"/>
      <c r="G821" s="105"/>
      <c r="H821" s="1">
        <v>795</v>
      </c>
      <c r="I821" s="105"/>
      <c r="J821" s="1">
        <f>9661-3057</f>
        <v>6604</v>
      </c>
      <c r="K821" s="110"/>
      <c r="L821" s="105"/>
      <c r="M821" s="1"/>
    </row>
    <row r="822" spans="1:13" ht="12">
      <c r="A822" s="11">
        <v>17</v>
      </c>
      <c r="C822" s="12" t="s">
        <v>32</v>
      </c>
      <c r="E822" s="11">
        <v>17</v>
      </c>
      <c r="F822" s="13"/>
      <c r="G822" s="105"/>
      <c r="H822" s="1">
        <v>0</v>
      </c>
      <c r="I822" s="105"/>
      <c r="J822" s="1">
        <v>0</v>
      </c>
      <c r="K822" s="110"/>
      <c r="L822" s="105"/>
      <c r="M822" s="1">
        <v>0</v>
      </c>
    </row>
    <row r="823" spans="1:13" ht="12">
      <c r="A823" s="11">
        <v>18</v>
      </c>
      <c r="C823" s="12"/>
      <c r="E823" s="11">
        <v>18</v>
      </c>
      <c r="F823" s="13"/>
      <c r="G823" s="105"/>
      <c r="H823" s="1"/>
      <c r="I823" s="105"/>
      <c r="J823" s="1"/>
      <c r="K823" s="110"/>
      <c r="L823" s="105"/>
      <c r="M823" s="1"/>
    </row>
    <row r="824" spans="1:13" ht="12">
      <c r="A824" s="11">
        <v>19</v>
      </c>
      <c r="C824" s="12"/>
      <c r="E824" s="11">
        <v>19</v>
      </c>
      <c r="F824" s="13"/>
      <c r="G824" s="105"/>
      <c r="H824" s="1"/>
      <c r="I824" s="105"/>
      <c r="J824" s="1"/>
      <c r="K824" s="110"/>
      <c r="L824" s="105"/>
      <c r="M824" s="1"/>
    </row>
    <row r="825" spans="1:13" ht="12">
      <c r="A825" s="11">
        <v>20</v>
      </c>
      <c r="C825" s="12"/>
      <c r="E825" s="11">
        <v>20</v>
      </c>
      <c r="F825" s="13"/>
      <c r="G825" s="105"/>
      <c r="H825" s="1"/>
      <c r="I825" s="105"/>
      <c r="J825" s="1"/>
      <c r="K825" s="110"/>
      <c r="L825" s="105"/>
      <c r="M825" s="1"/>
    </row>
    <row r="826" spans="1:13" ht="12">
      <c r="A826" s="11">
        <v>21</v>
      </c>
      <c r="C826" s="12"/>
      <c r="E826" s="11">
        <v>21</v>
      </c>
      <c r="F826" s="13"/>
      <c r="G826" s="105"/>
      <c r="H826" s="1"/>
      <c r="I826" s="105"/>
      <c r="J826" s="1"/>
      <c r="K826" s="110"/>
      <c r="L826" s="105"/>
      <c r="M826" s="1"/>
    </row>
    <row r="827" spans="1:13" ht="12">
      <c r="A827" s="11">
        <v>22</v>
      </c>
      <c r="C827" s="12"/>
      <c r="E827" s="11">
        <v>22</v>
      </c>
      <c r="F827" s="13"/>
      <c r="G827" s="105"/>
      <c r="H827" s="1"/>
      <c r="I827" s="105"/>
      <c r="J827" s="1"/>
      <c r="K827" s="110"/>
      <c r="L827" s="105"/>
      <c r="M827" s="1"/>
    </row>
    <row r="828" spans="1:13" ht="12">
      <c r="A828" s="11">
        <v>23</v>
      </c>
      <c r="C828" s="12"/>
      <c r="E828" s="11">
        <v>23</v>
      </c>
      <c r="F828" s="13"/>
      <c r="G828" s="105"/>
      <c r="H828" s="1"/>
      <c r="I828" s="105"/>
      <c r="J828" s="1"/>
      <c r="K828" s="110"/>
      <c r="L828" s="105"/>
      <c r="M828" s="1"/>
    </row>
    <row r="829" spans="1:13" ht="12">
      <c r="A829" s="11">
        <v>24</v>
      </c>
      <c r="C829" s="12"/>
      <c r="E829" s="11">
        <v>24</v>
      </c>
      <c r="F829" s="13"/>
      <c r="G829" s="71"/>
      <c r="H829" s="98"/>
      <c r="I829" s="71"/>
      <c r="J829" s="98"/>
      <c r="K829" s="13"/>
      <c r="L829" s="71"/>
      <c r="M829" s="98"/>
    </row>
    <row r="830" spans="1:13" ht="12">
      <c r="A830" s="21" t="s">
        <v>1</v>
      </c>
      <c r="B830" s="21" t="s">
        <v>1</v>
      </c>
      <c r="C830" s="21" t="s">
        <v>1</v>
      </c>
      <c r="D830" s="21" t="s">
        <v>1</v>
      </c>
      <c r="E830" s="21" t="s">
        <v>1</v>
      </c>
      <c r="F830" s="21" t="s">
        <v>1</v>
      </c>
      <c r="G830" s="21"/>
      <c r="H830" s="21"/>
      <c r="I830" s="22" t="s">
        <v>1</v>
      </c>
      <c r="J830" s="23" t="s">
        <v>1</v>
      </c>
      <c r="K830" s="21" t="s">
        <v>1</v>
      </c>
      <c r="L830" s="22" t="s">
        <v>1</v>
      </c>
      <c r="M830" s="23" t="s">
        <v>1</v>
      </c>
    </row>
    <row r="831" spans="1:13" ht="13.5" customHeight="1">
      <c r="A831" s="11">
        <v>25</v>
      </c>
      <c r="C831" s="12" t="s">
        <v>241</v>
      </c>
      <c r="E831" s="11">
        <v>25</v>
      </c>
      <c r="G831" s="108">
        <f>SUM(G816:G829)</f>
        <v>0</v>
      </c>
      <c r="H831" s="100">
        <f>SUM(H816:H829)</f>
        <v>795</v>
      </c>
      <c r="I831" s="108">
        <f>SUM(I816:I829)</f>
        <v>0</v>
      </c>
      <c r="J831" s="100">
        <f>SUM(J816:J829)</f>
        <v>6604</v>
      </c>
      <c r="K831" s="25"/>
      <c r="L831" s="108">
        <f>SUM(L816:L829)</f>
        <v>0</v>
      </c>
      <c r="M831" s="100">
        <f>SUM(M816:M829)</f>
        <v>0</v>
      </c>
    </row>
    <row r="832" spans="5:13" ht="12">
      <c r="E832" s="50"/>
      <c r="F832" s="90" t="s">
        <v>1</v>
      </c>
      <c r="G832" s="90"/>
      <c r="H832" s="90"/>
      <c r="I832" s="22"/>
      <c r="J832" s="23"/>
      <c r="K832" s="90"/>
      <c r="L832" s="22"/>
      <c r="M832" s="23"/>
    </row>
    <row r="834" spans="1:13" ht="12">
      <c r="A834" s="12"/>
      <c r="J834" s="55"/>
      <c r="M834" s="55"/>
    </row>
    <row r="835" spans="1:13" s="46" customFormat="1" ht="12">
      <c r="A835" s="19" t="str">
        <f>$A$36</f>
        <v>Institution No.:  GFE</v>
      </c>
      <c r="E835" s="51"/>
      <c r="I835" s="52"/>
      <c r="J835" s="53"/>
      <c r="L835" s="52"/>
      <c r="M835" s="18" t="s">
        <v>56</v>
      </c>
    </row>
    <row r="836" spans="1:13" s="46" customFormat="1" ht="12">
      <c r="A836" s="275" t="s">
        <v>57</v>
      </c>
      <c r="B836" s="275"/>
      <c r="C836" s="275"/>
      <c r="D836" s="275"/>
      <c r="E836" s="275"/>
      <c r="F836" s="275"/>
      <c r="G836" s="275"/>
      <c r="H836" s="275"/>
      <c r="I836" s="275"/>
      <c r="J836" s="275"/>
      <c r="K836" s="275"/>
      <c r="L836" s="275"/>
      <c r="M836" s="275"/>
    </row>
    <row r="837" spans="1:13" ht="12">
      <c r="A837" s="19" t="s">
        <v>664</v>
      </c>
      <c r="C837" s="7" t="s">
        <v>666</v>
      </c>
      <c r="J837" s="127"/>
      <c r="L837" s="17"/>
      <c r="M837" s="20" t="str">
        <f>$M$3</f>
        <v>Date: 10/1/2008</v>
      </c>
    </row>
    <row r="838" spans="1:13" ht="12">
      <c r="A838" s="21" t="s">
        <v>1</v>
      </c>
      <c r="B838" s="21" t="s">
        <v>1</v>
      </c>
      <c r="C838" s="21" t="s">
        <v>1</v>
      </c>
      <c r="D838" s="21" t="s">
        <v>1</v>
      </c>
      <c r="E838" s="21" t="s">
        <v>1</v>
      </c>
      <c r="F838" s="21" t="s">
        <v>1</v>
      </c>
      <c r="G838" s="21"/>
      <c r="H838" s="21"/>
      <c r="I838" s="22" t="s">
        <v>1</v>
      </c>
      <c r="J838" s="23" t="s">
        <v>1</v>
      </c>
      <c r="K838" s="21" t="s">
        <v>1</v>
      </c>
      <c r="L838" s="22" t="s">
        <v>1</v>
      </c>
      <c r="M838" s="23" t="s">
        <v>1</v>
      </c>
    </row>
    <row r="839" spans="1:13" ht="12">
      <c r="A839" s="24" t="s">
        <v>2</v>
      </c>
      <c r="E839" s="24" t="s">
        <v>2</v>
      </c>
      <c r="F839" s="25"/>
      <c r="G839" s="26"/>
      <c r="H839" s="25" t="s">
        <v>249</v>
      </c>
      <c r="I839" s="26"/>
      <c r="J839" s="27" t="s">
        <v>251</v>
      </c>
      <c r="K839" s="25"/>
      <c r="L839" s="26"/>
      <c r="M839" s="27" t="s">
        <v>260</v>
      </c>
    </row>
    <row r="840" spans="1:13" ht="12">
      <c r="A840" s="24" t="s">
        <v>4</v>
      </c>
      <c r="C840" s="28" t="s">
        <v>20</v>
      </c>
      <c r="E840" s="24" t="s">
        <v>4</v>
      </c>
      <c r="F840" s="25"/>
      <c r="G840" s="25"/>
      <c r="H840" s="27" t="s">
        <v>7</v>
      </c>
      <c r="I840" s="26"/>
      <c r="J840" s="27" t="s">
        <v>7</v>
      </c>
      <c r="K840" s="25"/>
      <c r="L840" s="26"/>
      <c r="M840" s="27" t="s">
        <v>8</v>
      </c>
    </row>
    <row r="841" spans="1:13" ht="12">
      <c r="A841" s="21" t="s">
        <v>1</v>
      </c>
      <c r="B841" s="21" t="s">
        <v>1</v>
      </c>
      <c r="C841" s="21" t="s">
        <v>1</v>
      </c>
      <c r="D841" s="21" t="s">
        <v>1</v>
      </c>
      <c r="E841" s="21" t="s">
        <v>1</v>
      </c>
      <c r="F841" s="21" t="s">
        <v>1</v>
      </c>
      <c r="G841" s="21"/>
      <c r="H841" s="21"/>
      <c r="I841" s="22" t="s">
        <v>1</v>
      </c>
      <c r="J841" s="23" t="s">
        <v>1</v>
      </c>
      <c r="K841" s="21" t="s">
        <v>1</v>
      </c>
      <c r="L841" s="22" t="s">
        <v>1</v>
      </c>
      <c r="M841" s="23" t="s">
        <v>1</v>
      </c>
    </row>
    <row r="842" spans="1:13" ht="12">
      <c r="A842" s="93">
        <v>1</v>
      </c>
      <c r="C842" s="7" t="s">
        <v>58</v>
      </c>
      <c r="E842" s="93">
        <v>1</v>
      </c>
      <c r="F842" s="13"/>
      <c r="G842" s="13"/>
      <c r="H842" s="1">
        <v>15494552</v>
      </c>
      <c r="I842" s="1"/>
      <c r="J842" s="1">
        <f>130135+111661+5290887+1883221-5290887+5156941-1868281+1820983</f>
        <v>7234660</v>
      </c>
      <c r="K842" s="1"/>
      <c r="L842" s="1"/>
      <c r="M842" s="1">
        <f>3847175+4500000</f>
        <v>8347175</v>
      </c>
    </row>
    <row r="843" spans="1:13" ht="12">
      <c r="A843" s="93">
        <v>2</v>
      </c>
      <c r="E843" s="93">
        <v>2</v>
      </c>
      <c r="F843" s="13"/>
      <c r="G843" s="13"/>
      <c r="H843" s="1"/>
      <c r="I843" s="1"/>
      <c r="J843" s="1"/>
      <c r="K843" s="1"/>
      <c r="L843" s="1"/>
      <c r="M843" s="1">
        <v>0</v>
      </c>
    </row>
    <row r="844" spans="1:13" ht="12">
      <c r="A844" s="93">
        <v>3</v>
      </c>
      <c r="C844" s="13"/>
      <c r="E844" s="93">
        <v>3</v>
      </c>
      <c r="F844" s="13"/>
      <c r="G844" s="13"/>
      <c r="H844" s="1">
        <v>0</v>
      </c>
      <c r="I844" s="1"/>
      <c r="J844" s="1">
        <v>0</v>
      </c>
      <c r="K844" s="1"/>
      <c r="L844" s="1"/>
      <c r="M844" s="1">
        <v>0</v>
      </c>
    </row>
    <row r="845" spans="1:13" ht="12">
      <c r="A845" s="93">
        <v>4</v>
      </c>
      <c r="C845" s="13"/>
      <c r="E845" s="93">
        <v>4</v>
      </c>
      <c r="F845" s="13"/>
      <c r="G845" s="13"/>
      <c r="H845" s="1">
        <v>0</v>
      </c>
      <c r="I845" s="1"/>
      <c r="J845" s="1">
        <v>0</v>
      </c>
      <c r="K845" s="1"/>
      <c r="L845" s="1"/>
      <c r="M845" s="1">
        <v>0</v>
      </c>
    </row>
    <row r="846" spans="1:13" ht="12">
      <c r="A846" s="93">
        <v>5</v>
      </c>
      <c r="C846" s="12"/>
      <c r="E846" s="93">
        <v>5</v>
      </c>
      <c r="F846" s="13"/>
      <c r="G846" s="13"/>
      <c r="H846" s="1">
        <v>0</v>
      </c>
      <c r="I846" s="1"/>
      <c r="J846" s="1">
        <v>0</v>
      </c>
      <c r="K846" s="1"/>
      <c r="L846" s="1"/>
      <c r="M846" s="1">
        <v>0</v>
      </c>
    </row>
    <row r="847" spans="1:13" ht="12">
      <c r="A847" s="93">
        <v>6</v>
      </c>
      <c r="C847" s="13"/>
      <c r="E847" s="93">
        <v>6</v>
      </c>
      <c r="F847" s="13"/>
      <c r="G847" s="13"/>
      <c r="H847" s="1">
        <v>0</v>
      </c>
      <c r="I847" s="1"/>
      <c r="J847" s="1">
        <v>0</v>
      </c>
      <c r="K847" s="1"/>
      <c r="L847" s="1"/>
      <c r="M847" s="1">
        <v>0</v>
      </c>
    </row>
    <row r="848" spans="1:13" ht="12">
      <c r="A848" s="93">
        <v>7</v>
      </c>
      <c r="C848" s="13"/>
      <c r="E848" s="93">
        <v>7</v>
      </c>
      <c r="F848" s="13"/>
      <c r="G848" s="13"/>
      <c r="H848" s="1">
        <v>0</v>
      </c>
      <c r="I848" s="1"/>
      <c r="J848" s="1">
        <v>0</v>
      </c>
      <c r="K848" s="1"/>
      <c r="L848" s="1"/>
      <c r="M848" s="1">
        <v>0</v>
      </c>
    </row>
    <row r="849" spans="1:13" ht="12">
      <c r="A849" s="93">
        <v>8</v>
      </c>
      <c r="E849" s="93">
        <v>8</v>
      </c>
      <c r="F849" s="13"/>
      <c r="G849" s="13"/>
      <c r="H849" s="1">
        <v>0</v>
      </c>
      <c r="I849" s="1"/>
      <c r="J849" s="1">
        <v>0</v>
      </c>
      <c r="K849" s="1"/>
      <c r="L849" s="1"/>
      <c r="M849" s="1">
        <v>0</v>
      </c>
    </row>
    <row r="850" spans="1:13" ht="12">
      <c r="A850" s="93">
        <v>9</v>
      </c>
      <c r="E850" s="93">
        <v>9</v>
      </c>
      <c r="F850" s="13"/>
      <c r="G850" s="13"/>
      <c r="H850" s="1">
        <v>0</v>
      </c>
      <c r="I850" s="1"/>
      <c r="J850" s="1">
        <v>0</v>
      </c>
      <c r="K850" s="1"/>
      <c r="L850" s="1"/>
      <c r="M850" s="1">
        <v>0</v>
      </c>
    </row>
    <row r="851" spans="1:13" ht="12">
      <c r="A851" s="96"/>
      <c r="E851" s="96"/>
      <c r="F851" s="90" t="s">
        <v>1</v>
      </c>
      <c r="G851" s="90"/>
      <c r="H851" s="116"/>
      <c r="I851" s="116" t="s">
        <v>1</v>
      </c>
      <c r="J851" s="116"/>
      <c r="K851" s="116"/>
      <c r="L851" s="116"/>
      <c r="M851" s="116"/>
    </row>
    <row r="852" spans="1:13" ht="12">
      <c r="A852" s="93">
        <v>10</v>
      </c>
      <c r="C852" s="7" t="s">
        <v>87</v>
      </c>
      <c r="E852" s="93">
        <v>10</v>
      </c>
      <c r="H852" s="1">
        <f>SUM(H842:H850)</f>
        <v>15494552</v>
      </c>
      <c r="I852" s="101"/>
      <c r="J852" s="1">
        <f>SUM(J842:J850)</f>
        <v>7234660</v>
      </c>
      <c r="K852" s="100"/>
      <c r="L852" s="101"/>
      <c r="M852" s="1">
        <f>SUM(M842:M850)</f>
        <v>8347175</v>
      </c>
    </row>
    <row r="853" spans="1:13" ht="12">
      <c r="A853" s="93"/>
      <c r="E853" s="93"/>
      <c r="F853" s="90" t="s">
        <v>1</v>
      </c>
      <c r="G853" s="90"/>
      <c r="H853" s="116"/>
      <c r="I853" s="116" t="s">
        <v>1</v>
      </c>
      <c r="J853" s="116"/>
      <c r="K853" s="116"/>
      <c r="L853" s="116"/>
      <c r="M853" s="116"/>
    </row>
    <row r="854" spans="1:13" ht="12">
      <c r="A854" s="93">
        <v>11</v>
      </c>
      <c r="C854" s="13"/>
      <c r="E854" s="93">
        <v>11</v>
      </c>
      <c r="F854" s="13"/>
      <c r="G854" s="13"/>
      <c r="H854" s="1"/>
      <c r="I854" s="1"/>
      <c r="J854" s="1"/>
      <c r="K854" s="1"/>
      <c r="L854" s="1"/>
      <c r="M854" s="1"/>
    </row>
    <row r="855" spans="1:13" ht="12">
      <c r="A855" s="93">
        <v>12</v>
      </c>
      <c r="C855" s="12" t="s">
        <v>158</v>
      </c>
      <c r="E855" s="93">
        <v>12</v>
      </c>
      <c r="F855" s="13"/>
      <c r="G855" s="13"/>
      <c r="H855" s="1">
        <v>12603980</v>
      </c>
      <c r="I855" s="1"/>
      <c r="J855" s="1">
        <f>706496-7214-180193-1669092-1+2912-25453+19068+87598+15711610+239663+3487910+147213-174504-15563764+15169745-1492314+1454534</f>
        <v>17914214</v>
      </c>
      <c r="K855" s="1"/>
      <c r="L855" s="1"/>
      <c r="M855" s="88">
        <v>21261815</v>
      </c>
    </row>
    <row r="856" spans="1:13" ht="12">
      <c r="A856" s="93">
        <v>13</v>
      </c>
      <c r="C856" s="13" t="s">
        <v>659</v>
      </c>
      <c r="E856" s="93">
        <v>13</v>
      </c>
      <c r="F856" s="13"/>
      <c r="G856" s="13"/>
      <c r="H856" s="1">
        <v>3101476</v>
      </c>
      <c r="I856" s="1"/>
      <c r="J856" s="1">
        <f>374473+1604429+651932+132851</f>
        <v>2763685</v>
      </c>
      <c r="K856" s="1"/>
      <c r="L856" s="1"/>
      <c r="M856" s="1">
        <f>227489+222984+132851+651932</f>
        <v>1235256</v>
      </c>
    </row>
    <row r="857" spans="1:13" ht="12">
      <c r="A857" s="93">
        <v>14</v>
      </c>
      <c r="C857" s="7" t="s">
        <v>660</v>
      </c>
      <c r="E857" s="93">
        <v>14</v>
      </c>
      <c r="F857" s="13"/>
      <c r="G857" s="13"/>
      <c r="H857" s="1"/>
      <c r="I857" s="1"/>
      <c r="J857" s="1">
        <v>1</v>
      </c>
      <c r="K857" s="1"/>
      <c r="L857" s="1"/>
      <c r="M857" s="1">
        <v>0</v>
      </c>
    </row>
    <row r="858" spans="1:13" ht="12">
      <c r="A858" s="93">
        <v>15</v>
      </c>
      <c r="E858" s="93">
        <v>15</v>
      </c>
      <c r="F858" s="13"/>
      <c r="G858" s="13"/>
      <c r="H858" s="1"/>
      <c r="I858" s="1"/>
      <c r="J858" s="1"/>
      <c r="K858" s="1"/>
      <c r="L858" s="1"/>
      <c r="M858" s="1">
        <v>0</v>
      </c>
    </row>
    <row r="859" spans="1:13" ht="12">
      <c r="A859" s="93">
        <v>16</v>
      </c>
      <c r="E859" s="93">
        <v>16</v>
      </c>
      <c r="F859" s="13"/>
      <c r="G859" s="13"/>
      <c r="H859" s="1">
        <v>0</v>
      </c>
      <c r="I859" s="1"/>
      <c r="J859" s="1">
        <v>0</v>
      </c>
      <c r="K859" s="1"/>
      <c r="L859" s="1"/>
      <c r="M859" s="1">
        <v>0</v>
      </c>
    </row>
    <row r="860" spans="1:13" ht="12">
      <c r="A860" s="93">
        <v>17</v>
      </c>
      <c r="C860" s="94"/>
      <c r="D860" s="95"/>
      <c r="E860" s="93">
        <v>17</v>
      </c>
      <c r="F860" s="13"/>
      <c r="G860" s="13"/>
      <c r="H860" s="1">
        <v>0</v>
      </c>
      <c r="I860" s="1"/>
      <c r="J860" s="1">
        <v>0</v>
      </c>
      <c r="K860" s="1"/>
      <c r="L860" s="1"/>
      <c r="M860" s="1">
        <v>0</v>
      </c>
    </row>
    <row r="861" spans="1:13" ht="12">
      <c r="A861" s="93">
        <v>18</v>
      </c>
      <c r="C861" s="95"/>
      <c r="D861" s="95"/>
      <c r="E861" s="93">
        <v>18</v>
      </c>
      <c r="F861" s="13"/>
      <c r="G861" s="13"/>
      <c r="H861" s="1">
        <v>0</v>
      </c>
      <c r="I861" s="1"/>
      <c r="J861" s="1">
        <v>0</v>
      </c>
      <c r="K861" s="1"/>
      <c r="L861" s="1"/>
      <c r="M861" s="1">
        <v>0</v>
      </c>
    </row>
    <row r="862" spans="1:13" ht="12">
      <c r="A862" s="93"/>
      <c r="C862" s="128"/>
      <c r="D862" s="95"/>
      <c r="E862" s="93"/>
      <c r="F862" s="90" t="s">
        <v>1</v>
      </c>
      <c r="G862" s="90"/>
      <c r="H862" s="23"/>
      <c r="I862" s="22" t="s">
        <v>1</v>
      </c>
      <c r="J862" s="23"/>
      <c r="K862" s="90"/>
      <c r="L862" s="22"/>
      <c r="M862" s="23"/>
    </row>
    <row r="863" spans="1:13" ht="12">
      <c r="A863" s="93">
        <v>19</v>
      </c>
      <c r="C863" s="7" t="s">
        <v>159</v>
      </c>
      <c r="D863" s="95"/>
      <c r="E863" s="93">
        <v>19</v>
      </c>
      <c r="H863" s="100">
        <f>SUM(H854:H861)</f>
        <v>15705456</v>
      </c>
      <c r="I863" s="100"/>
      <c r="J863" s="100">
        <f>SUM(J854:J861)</f>
        <v>20677900</v>
      </c>
      <c r="K863" s="1"/>
      <c r="L863" s="1"/>
      <c r="M863" s="100">
        <f>SUM(M854:M861)</f>
        <v>22497071</v>
      </c>
    </row>
    <row r="864" spans="1:13" ht="12">
      <c r="A864" s="93"/>
      <c r="C864" s="128"/>
      <c r="D864" s="95"/>
      <c r="E864" s="93"/>
      <c r="F864" s="90" t="s">
        <v>1</v>
      </c>
      <c r="G864" s="90"/>
      <c r="H864" s="23"/>
      <c r="I864" s="22" t="s">
        <v>1</v>
      </c>
      <c r="J864" s="23"/>
      <c r="K864" s="90"/>
      <c r="L864" s="22"/>
      <c r="M864" s="23"/>
    </row>
    <row r="865" spans="1:10" ht="12">
      <c r="A865" s="93"/>
      <c r="C865" s="95"/>
      <c r="D865" s="95"/>
      <c r="E865" s="93"/>
      <c r="H865" s="15"/>
      <c r="J865" s="15"/>
    </row>
    <row r="866" spans="1:13" ht="13.5" customHeight="1">
      <c r="A866" s="93">
        <v>20</v>
      </c>
      <c r="C866" s="12" t="s">
        <v>242</v>
      </c>
      <c r="E866" s="93">
        <v>20</v>
      </c>
      <c r="H866" s="100">
        <f>SUM(H852,H863)</f>
        <v>31200008</v>
      </c>
      <c r="I866" s="101"/>
      <c r="J866" s="100">
        <f>SUM(J852,J863)</f>
        <v>27912560</v>
      </c>
      <c r="K866" s="100"/>
      <c r="L866" s="101"/>
      <c r="M866" s="100">
        <f>SUM(M852,M863)</f>
        <v>30844246</v>
      </c>
    </row>
    <row r="867" spans="3:13" ht="13.5" customHeight="1">
      <c r="C867" s="33" t="s">
        <v>88</v>
      </c>
      <c r="E867" s="50"/>
      <c r="F867" s="90" t="s">
        <v>1</v>
      </c>
      <c r="G867" s="90"/>
      <c r="H867" s="90"/>
      <c r="I867" s="22" t="s">
        <v>1</v>
      </c>
      <c r="J867" s="23"/>
      <c r="K867" s="90"/>
      <c r="L867" s="22"/>
      <c r="M867" s="23"/>
    </row>
    <row r="868" ht="12">
      <c r="C868" s="12" t="s">
        <v>0</v>
      </c>
    </row>
    <row r="869" ht="12">
      <c r="D869" s="25"/>
    </row>
    <row r="870" spans="1:13" s="46" customFormat="1" ht="12">
      <c r="A870" s="19" t="str">
        <f>$A$36</f>
        <v>Institution No.:  GFE</v>
      </c>
      <c r="D870" s="126"/>
      <c r="F870" s="51"/>
      <c r="G870" s="51"/>
      <c r="H870" s="51"/>
      <c r="I870" s="52"/>
      <c r="J870" s="53"/>
      <c r="L870" s="129"/>
      <c r="M870" s="91" t="s">
        <v>99</v>
      </c>
    </row>
    <row r="871" spans="1:13" s="46" customFormat="1" ht="12.75" customHeight="1">
      <c r="A871" s="261" t="s">
        <v>157</v>
      </c>
      <c r="B871" s="261"/>
      <c r="C871" s="261"/>
      <c r="D871" s="261"/>
      <c r="E871" s="261"/>
      <c r="F871" s="261"/>
      <c r="G871" s="261"/>
      <c r="H871" s="261"/>
      <c r="I871" s="261"/>
      <c r="J871" s="261"/>
      <c r="K871" s="261"/>
      <c r="L871" s="261"/>
      <c r="M871" s="261"/>
    </row>
    <row r="872" spans="1:13" ht="12">
      <c r="A872" s="19" t="s">
        <v>664</v>
      </c>
      <c r="C872" s="7" t="s">
        <v>686</v>
      </c>
      <c r="D872" s="269"/>
      <c r="E872" s="269"/>
      <c r="F872" s="269"/>
      <c r="G872" s="130"/>
      <c r="H872" s="130"/>
      <c r="M872" s="20" t="str">
        <f>$M$3</f>
        <v>Date: 10/1/2008</v>
      </c>
    </row>
    <row r="873" spans="1:13" ht="12">
      <c r="A873" s="21" t="s">
        <v>1</v>
      </c>
      <c r="B873" s="21" t="s">
        <v>1</v>
      </c>
      <c r="C873" s="21" t="s">
        <v>1</v>
      </c>
      <c r="D873" s="21" t="s">
        <v>1</v>
      </c>
      <c r="E873" s="21" t="s">
        <v>1</v>
      </c>
      <c r="F873" s="21" t="s">
        <v>1</v>
      </c>
      <c r="G873" s="21"/>
      <c r="H873" s="21"/>
      <c r="I873" s="22" t="s">
        <v>1</v>
      </c>
      <c r="J873" s="23" t="s">
        <v>1</v>
      </c>
      <c r="K873" s="21" t="s">
        <v>1</v>
      </c>
      <c r="L873" s="22" t="s">
        <v>1</v>
      </c>
      <c r="M873" s="23" t="s">
        <v>1</v>
      </c>
    </row>
    <row r="874" spans="1:13" ht="12">
      <c r="A874" s="24" t="s">
        <v>2</v>
      </c>
      <c r="D874" s="25"/>
      <c r="E874" s="24" t="s">
        <v>2</v>
      </c>
      <c r="F874" s="25"/>
      <c r="G874" s="273" t="s">
        <v>290</v>
      </c>
      <c r="H874" s="273"/>
      <c r="I874" s="273" t="s">
        <v>252</v>
      </c>
      <c r="J874" s="273"/>
      <c r="K874" s="25"/>
      <c r="L874" s="273" t="s">
        <v>269</v>
      </c>
      <c r="M874" s="273"/>
    </row>
    <row r="875" spans="1:13" ht="12">
      <c r="A875" s="24" t="s">
        <v>4</v>
      </c>
      <c r="C875" s="12" t="s">
        <v>100</v>
      </c>
      <c r="D875" s="25" t="s">
        <v>101</v>
      </c>
      <c r="E875" s="24" t="s">
        <v>4</v>
      </c>
      <c r="F875" s="25"/>
      <c r="G875" s="26" t="s">
        <v>92</v>
      </c>
      <c r="H875" s="27" t="s">
        <v>93</v>
      </c>
      <c r="I875" s="26" t="s">
        <v>92</v>
      </c>
      <c r="J875" s="27" t="s">
        <v>93</v>
      </c>
      <c r="K875" s="25"/>
      <c r="L875" s="26" t="s">
        <v>92</v>
      </c>
      <c r="M875" s="27" t="s">
        <v>93</v>
      </c>
    </row>
    <row r="876" spans="3:13" ht="12">
      <c r="C876" s="7" t="s">
        <v>102</v>
      </c>
      <c r="D876" s="25" t="s">
        <v>103</v>
      </c>
      <c r="E876" s="25"/>
      <c r="F876" s="25"/>
      <c r="G876" s="26" t="s">
        <v>94</v>
      </c>
      <c r="H876" s="27" t="s">
        <v>95</v>
      </c>
      <c r="I876" s="26" t="s">
        <v>94</v>
      </c>
      <c r="J876" s="27" t="s">
        <v>95</v>
      </c>
      <c r="K876" s="25"/>
      <c r="L876" s="26" t="s">
        <v>94</v>
      </c>
      <c r="M876" s="27" t="s">
        <v>95</v>
      </c>
    </row>
    <row r="877" spans="1:13" ht="12">
      <c r="A877" s="21" t="s">
        <v>1</v>
      </c>
      <c r="B877" s="21" t="s">
        <v>1</v>
      </c>
      <c r="C877" s="21" t="s">
        <v>1</v>
      </c>
      <c r="D877" s="21" t="s">
        <v>1</v>
      </c>
      <c r="E877" s="21" t="s">
        <v>1</v>
      </c>
      <c r="F877" s="112" t="s">
        <v>204</v>
      </c>
      <c r="I877" s="22" t="s">
        <v>1</v>
      </c>
      <c r="J877" s="23" t="s">
        <v>1</v>
      </c>
      <c r="K877" s="21" t="s">
        <v>1</v>
      </c>
      <c r="L877" s="22" t="s">
        <v>1</v>
      </c>
      <c r="M877" s="23" t="s">
        <v>1</v>
      </c>
    </row>
    <row r="878" spans="1:13" ht="12">
      <c r="A878" s="21"/>
      <c r="B878" s="21"/>
      <c r="D878" s="28"/>
      <c r="E878" s="21"/>
      <c r="I878" s="22"/>
      <c r="J878" s="23"/>
      <c r="K878" s="90"/>
      <c r="L878" s="22"/>
      <c r="M878" s="23"/>
    </row>
    <row r="879" spans="1:13" ht="12">
      <c r="A879" s="11">
        <v>1</v>
      </c>
      <c r="C879" s="131" t="s">
        <v>96</v>
      </c>
      <c r="D879" s="132"/>
      <c r="E879" s="11">
        <v>1</v>
      </c>
      <c r="F879" s="133"/>
      <c r="G879" s="102"/>
      <c r="H879" s="102"/>
      <c r="I879" s="102"/>
      <c r="J879" s="102"/>
      <c r="K879" s="102"/>
      <c r="L879" s="102"/>
      <c r="M879" s="102"/>
    </row>
    <row r="880" spans="1:13" ht="12">
      <c r="A880" s="11">
        <f aca="true" t="shared" si="13" ref="A880:A902">(A879+1)</f>
        <v>2</v>
      </c>
      <c r="C880" s="205" t="s">
        <v>671</v>
      </c>
      <c r="D880" s="132"/>
      <c r="E880" s="11">
        <f aca="true" t="shared" si="14" ref="E880:E902">(E879+1)</f>
        <v>2</v>
      </c>
      <c r="F880" s="133"/>
      <c r="G880" s="102"/>
      <c r="H880" s="102"/>
      <c r="I880" s="102"/>
      <c r="J880" s="102">
        <v>0</v>
      </c>
      <c r="K880" s="102"/>
      <c r="L880" s="102"/>
      <c r="M880" s="98">
        <v>1367000</v>
      </c>
    </row>
    <row r="881" spans="1:13" ht="24">
      <c r="A881" s="11">
        <f t="shared" si="13"/>
        <v>3</v>
      </c>
      <c r="C881" s="205" t="s">
        <v>672</v>
      </c>
      <c r="D881" s="132"/>
      <c r="E881" s="11">
        <f t="shared" si="14"/>
        <v>3</v>
      </c>
      <c r="F881" s="133"/>
      <c r="G881" s="102"/>
      <c r="H881" s="102"/>
      <c r="J881" s="102"/>
      <c r="K881" s="102"/>
      <c r="L881" s="102"/>
      <c r="M881" s="102">
        <v>8200925</v>
      </c>
    </row>
    <row r="882" spans="1:12" ht="11.25" customHeight="1">
      <c r="A882" s="11">
        <f t="shared" si="13"/>
        <v>4</v>
      </c>
      <c r="C882" s="205" t="s">
        <v>673</v>
      </c>
      <c r="E882" s="11">
        <f t="shared" si="14"/>
        <v>4</v>
      </c>
      <c r="F882" s="133"/>
      <c r="G882" s="102">
        <v>13143313</v>
      </c>
      <c r="H882" s="102"/>
      <c r="I882" s="102">
        <v>13145713</v>
      </c>
      <c r="J882" s="102"/>
      <c r="K882" s="102"/>
      <c r="L882" s="102">
        <v>13142688</v>
      </c>
    </row>
    <row r="883" spans="1:13" ht="12">
      <c r="A883" s="11">
        <f t="shared" si="13"/>
        <v>5</v>
      </c>
      <c r="C883" s="259" t="s">
        <v>674</v>
      </c>
      <c r="D883" s="134"/>
      <c r="E883" s="11">
        <f t="shared" si="14"/>
        <v>5</v>
      </c>
      <c r="F883" s="133"/>
      <c r="G883" s="102"/>
      <c r="H883" s="102"/>
      <c r="I883" s="102"/>
      <c r="J883" s="102">
        <v>5349033</v>
      </c>
      <c r="K883" s="102"/>
      <c r="L883" s="102"/>
      <c r="M883" s="102"/>
    </row>
    <row r="884" spans="1:13" ht="12">
      <c r="A884" s="11">
        <f t="shared" si="13"/>
        <v>6</v>
      </c>
      <c r="C884" s="260" t="s">
        <v>675</v>
      </c>
      <c r="D884" s="134"/>
      <c r="E884" s="11">
        <f t="shared" si="14"/>
        <v>6</v>
      </c>
      <c r="F884" s="133"/>
      <c r="G884" s="102"/>
      <c r="H884" s="102"/>
      <c r="I884" s="102"/>
      <c r="J884" s="102">
        <v>1834143</v>
      </c>
      <c r="K884" s="102"/>
      <c r="L884" s="102"/>
      <c r="M884" s="102"/>
    </row>
    <row r="885" spans="1:13" ht="12">
      <c r="A885" s="11">
        <f t="shared" si="13"/>
        <v>7</v>
      </c>
      <c r="C885" s="260" t="s">
        <v>676</v>
      </c>
      <c r="D885" s="132"/>
      <c r="E885" s="11">
        <f t="shared" si="14"/>
        <v>7</v>
      </c>
      <c r="F885" s="133"/>
      <c r="G885" s="102"/>
      <c r="H885" s="102"/>
      <c r="I885" s="102"/>
      <c r="J885" s="102">
        <v>42032512</v>
      </c>
      <c r="K885" s="102"/>
      <c r="L885" s="102"/>
      <c r="M885" s="102"/>
    </row>
    <row r="886" spans="1:13" ht="13.5" customHeight="1">
      <c r="A886" s="11">
        <f t="shared" si="13"/>
        <v>8</v>
      </c>
      <c r="C886" s="260" t="s">
        <v>679</v>
      </c>
      <c r="D886" s="135"/>
      <c r="E886" s="11">
        <f t="shared" si="14"/>
        <v>8</v>
      </c>
      <c r="F886" s="133"/>
      <c r="G886" s="102"/>
      <c r="H886" s="102"/>
      <c r="I886" s="102"/>
      <c r="J886" s="102">
        <v>4835000</v>
      </c>
      <c r="K886" s="102"/>
      <c r="L886" s="102"/>
      <c r="M886" s="102"/>
    </row>
    <row r="887" spans="1:13" ht="12">
      <c r="A887" s="11">
        <f t="shared" si="13"/>
        <v>9</v>
      </c>
      <c r="C887" s="259" t="s">
        <v>680</v>
      </c>
      <c r="D887" s="134"/>
      <c r="E887" s="11">
        <f t="shared" si="14"/>
        <v>9</v>
      </c>
      <c r="F887" s="133"/>
      <c r="G887" s="102"/>
      <c r="H887" s="102">
        <v>1282093</v>
      </c>
      <c r="I887" s="102"/>
      <c r="J887" s="102"/>
      <c r="K887" s="102"/>
      <c r="L887" s="102"/>
      <c r="M887" s="102"/>
    </row>
    <row r="888" spans="1:13" ht="12">
      <c r="A888" s="11">
        <f t="shared" si="13"/>
        <v>10</v>
      </c>
      <c r="D888" s="134"/>
      <c r="E888" s="11">
        <f t="shared" si="14"/>
        <v>10</v>
      </c>
      <c r="F888" s="133"/>
      <c r="G888" s="102"/>
      <c r="H888" s="102"/>
      <c r="I888" s="102"/>
      <c r="J888" s="102"/>
      <c r="K888" s="102"/>
      <c r="L888" s="102"/>
      <c r="M888" s="102"/>
    </row>
    <row r="889" spans="1:13" ht="12">
      <c r="A889" s="11">
        <f t="shared" si="13"/>
        <v>11</v>
      </c>
      <c r="D889" s="132"/>
      <c r="E889" s="11">
        <f t="shared" si="14"/>
        <v>11</v>
      </c>
      <c r="F889" s="133"/>
      <c r="G889" s="102"/>
      <c r="H889" s="102"/>
      <c r="I889" s="102"/>
      <c r="J889" s="102"/>
      <c r="K889" s="102"/>
      <c r="L889" s="102"/>
      <c r="M889" s="102"/>
    </row>
    <row r="890" spans="1:13" ht="12">
      <c r="A890" s="11">
        <f t="shared" si="13"/>
        <v>12</v>
      </c>
      <c r="C890" s="12"/>
      <c r="D890" s="135"/>
      <c r="E890" s="11">
        <f t="shared" si="14"/>
        <v>12</v>
      </c>
      <c r="F890" s="133"/>
      <c r="G890" s="102"/>
      <c r="H890" s="102"/>
      <c r="I890" s="102"/>
      <c r="J890" s="102"/>
      <c r="K890" s="102"/>
      <c r="L890" s="102"/>
      <c r="M890" s="102"/>
    </row>
    <row r="891" spans="1:13" ht="12">
      <c r="A891" s="11">
        <f t="shared" si="13"/>
        <v>13</v>
      </c>
      <c r="D891" s="135"/>
      <c r="E891" s="11">
        <f t="shared" si="14"/>
        <v>13</v>
      </c>
      <c r="F891" s="133"/>
      <c r="G891" s="102"/>
      <c r="H891" s="102"/>
      <c r="I891" s="102"/>
      <c r="J891" s="102"/>
      <c r="K891" s="102"/>
      <c r="L891" s="102"/>
      <c r="M891" s="102"/>
    </row>
    <row r="892" spans="1:13" ht="12">
      <c r="A892" s="11">
        <f t="shared" si="13"/>
        <v>14</v>
      </c>
      <c r="D892" s="132"/>
      <c r="E892" s="11">
        <f t="shared" si="14"/>
        <v>14</v>
      </c>
      <c r="F892" s="133"/>
      <c r="G892" s="102"/>
      <c r="H892" s="102"/>
      <c r="I892" s="98"/>
      <c r="J892" s="98"/>
      <c r="K892" s="102"/>
      <c r="L892" s="102"/>
      <c r="M892" s="102"/>
    </row>
    <row r="893" spans="1:13" ht="12">
      <c r="A893" s="11">
        <f t="shared" si="13"/>
        <v>15</v>
      </c>
      <c r="D893" s="135"/>
      <c r="E893" s="11">
        <f t="shared" si="14"/>
        <v>15</v>
      </c>
      <c r="F893" s="133"/>
      <c r="G893" s="102"/>
      <c r="H893" s="102"/>
      <c r="I893" s="98"/>
      <c r="J893" s="98"/>
      <c r="K893" s="102"/>
      <c r="L893" s="102"/>
      <c r="M893" s="102"/>
    </row>
    <row r="894" spans="1:13" ht="12">
      <c r="A894" s="11">
        <f t="shared" si="13"/>
        <v>16</v>
      </c>
      <c r="C894" s="13"/>
      <c r="D894" s="134"/>
      <c r="E894" s="11">
        <f t="shared" si="14"/>
        <v>16</v>
      </c>
      <c r="F894" s="133"/>
      <c r="G894" s="102"/>
      <c r="H894" s="102"/>
      <c r="I894" s="98"/>
      <c r="J894" s="98"/>
      <c r="K894" s="98"/>
      <c r="L894" s="98"/>
      <c r="M894" s="98"/>
    </row>
    <row r="895" spans="1:13" ht="12">
      <c r="A895" s="11">
        <f t="shared" si="13"/>
        <v>17</v>
      </c>
      <c r="C895" s="13" t="s">
        <v>97</v>
      </c>
      <c r="D895" s="134"/>
      <c r="E895" s="11">
        <f t="shared" si="14"/>
        <v>17</v>
      </c>
      <c r="F895" s="133"/>
      <c r="G895" s="102"/>
      <c r="H895" s="102"/>
      <c r="I895" s="98"/>
      <c r="J895" s="98"/>
      <c r="K895" s="98"/>
      <c r="L895" s="98"/>
      <c r="M895" s="98"/>
    </row>
    <row r="896" spans="1:12" ht="12">
      <c r="A896" s="11">
        <f t="shared" si="13"/>
        <v>18</v>
      </c>
      <c r="D896" s="134"/>
      <c r="E896" s="11">
        <f t="shared" si="14"/>
        <v>18</v>
      </c>
      <c r="F896" s="133"/>
      <c r="G896" s="102"/>
      <c r="H896" s="102"/>
      <c r="I896" s="98"/>
      <c r="J896" s="98"/>
      <c r="K896" s="98"/>
      <c r="L896" s="98"/>
    </row>
    <row r="897" spans="1:12" ht="12">
      <c r="A897" s="11">
        <f t="shared" si="13"/>
        <v>19</v>
      </c>
      <c r="D897" s="134"/>
      <c r="E897" s="11">
        <f t="shared" si="14"/>
        <v>19</v>
      </c>
      <c r="F897" s="133"/>
      <c r="G897" s="102"/>
      <c r="H897" s="102"/>
      <c r="I897" s="102"/>
      <c r="J897" s="102"/>
      <c r="K897" s="102"/>
      <c r="L897" s="102"/>
    </row>
    <row r="898" spans="1:12" ht="10.5" customHeight="1">
      <c r="A898" s="11">
        <f t="shared" si="13"/>
        <v>20</v>
      </c>
      <c r="D898" s="134"/>
      <c r="E898" s="11">
        <f t="shared" si="14"/>
        <v>20</v>
      </c>
      <c r="F898" s="133"/>
      <c r="G898" s="102"/>
      <c r="H898" s="102"/>
      <c r="I898" s="98"/>
      <c r="J898" s="98"/>
      <c r="K898" s="98"/>
      <c r="L898" s="102"/>
    </row>
    <row r="899" spans="1:13" ht="12">
      <c r="A899" s="11">
        <f t="shared" si="13"/>
        <v>21</v>
      </c>
      <c r="D899" s="134"/>
      <c r="E899" s="11">
        <f t="shared" si="14"/>
        <v>21</v>
      </c>
      <c r="G899" s="102"/>
      <c r="H899" s="102"/>
      <c r="I899" s="102"/>
      <c r="J899" s="102"/>
      <c r="K899" s="102"/>
      <c r="L899" s="102"/>
      <c r="M899" s="102"/>
    </row>
    <row r="900" spans="1:13" ht="12">
      <c r="A900" s="11">
        <f t="shared" si="13"/>
        <v>22</v>
      </c>
      <c r="C900" s="13"/>
      <c r="D900" s="134"/>
      <c r="E900" s="11">
        <f t="shared" si="14"/>
        <v>22</v>
      </c>
      <c r="G900" s="102"/>
      <c r="H900" s="102"/>
      <c r="I900" s="102"/>
      <c r="J900" s="102"/>
      <c r="K900" s="102"/>
      <c r="L900" s="102"/>
      <c r="M900" s="102"/>
    </row>
    <row r="901" spans="1:13" ht="12">
      <c r="A901" s="11">
        <f t="shared" si="13"/>
        <v>23</v>
      </c>
      <c r="D901" s="134"/>
      <c r="E901" s="11">
        <f t="shared" si="14"/>
        <v>23</v>
      </c>
      <c r="F901" s="133"/>
      <c r="G901" s="102"/>
      <c r="H901" s="102"/>
      <c r="I901" s="102"/>
      <c r="J901" s="102"/>
      <c r="K901" s="102"/>
      <c r="L901" s="102"/>
      <c r="M901" s="102"/>
    </row>
    <row r="902" spans="1:13" ht="12">
      <c r="A902" s="11">
        <f t="shared" si="13"/>
        <v>24</v>
      </c>
      <c r="D902" s="134"/>
      <c r="E902" s="11">
        <f t="shared" si="14"/>
        <v>24</v>
      </c>
      <c r="F902" s="133"/>
      <c r="G902" s="102"/>
      <c r="H902" s="102"/>
      <c r="I902" s="102"/>
      <c r="J902" s="102"/>
      <c r="K902" s="98"/>
      <c r="L902" s="98"/>
      <c r="M902" s="102"/>
    </row>
    <row r="903" spans="1:13" ht="12">
      <c r="A903" s="7">
        <v>25</v>
      </c>
      <c r="D903" s="134"/>
      <c r="E903" s="7">
        <v>25</v>
      </c>
      <c r="F903" s="133"/>
      <c r="G903" s="102"/>
      <c r="H903" s="102"/>
      <c r="I903" s="100"/>
      <c r="J903" s="100"/>
      <c r="K903" s="98"/>
      <c r="L903" s="102"/>
      <c r="M903" s="102"/>
    </row>
    <row r="904" spans="3:13" ht="12">
      <c r="C904" s="13"/>
      <c r="D904" s="134"/>
      <c r="I904" s="14"/>
      <c r="J904" s="15"/>
      <c r="K904" s="136"/>
      <c r="L904" s="14"/>
      <c r="M904" s="15"/>
    </row>
    <row r="905" spans="4:13" ht="12" customHeight="1">
      <c r="D905" s="135"/>
      <c r="E905" s="137"/>
      <c r="F905" s="21" t="s">
        <v>1</v>
      </c>
      <c r="G905" s="21"/>
      <c r="H905" s="21"/>
      <c r="I905" s="22" t="s">
        <v>1</v>
      </c>
      <c r="J905" s="23" t="s">
        <v>1</v>
      </c>
      <c r="K905" s="138" t="s">
        <v>1</v>
      </c>
      <c r="L905" s="22" t="s">
        <v>1</v>
      </c>
      <c r="M905" s="23" t="s">
        <v>1</v>
      </c>
    </row>
    <row r="906" spans="1:13" ht="12" customHeight="1">
      <c r="A906" s="11">
        <v>26</v>
      </c>
      <c r="C906" s="12" t="s">
        <v>98</v>
      </c>
      <c r="D906" s="132"/>
      <c r="E906" s="11">
        <v>26</v>
      </c>
      <c r="G906" s="100">
        <f>SUM(G878:G904)</f>
        <v>13143313</v>
      </c>
      <c r="H906" s="100">
        <f>SUM(H878:H904)</f>
        <v>1282093</v>
      </c>
      <c r="I906" s="100">
        <f>SUM(I878:I904)</f>
        <v>13145713</v>
      </c>
      <c r="J906" s="100">
        <f>SUM(J878:J904)</f>
        <v>54050688</v>
      </c>
      <c r="K906" s="100"/>
      <c r="L906" s="100">
        <f>SUM(L878:L904)</f>
        <v>13142688</v>
      </c>
      <c r="M906" s="100">
        <f>SUM(M878:M904)</f>
        <v>9567925</v>
      </c>
    </row>
    <row r="907" spans="4:13" ht="12" customHeight="1">
      <c r="D907" s="135"/>
      <c r="E907" s="137"/>
      <c r="F907" s="21" t="s">
        <v>1</v>
      </c>
      <c r="G907" s="21"/>
      <c r="H907" s="21"/>
      <c r="I907" s="22" t="s">
        <v>1</v>
      </c>
      <c r="J907" s="23" t="s">
        <v>1</v>
      </c>
      <c r="K907" s="138" t="s">
        <v>1</v>
      </c>
      <c r="L907" s="22" t="s">
        <v>1</v>
      </c>
      <c r="M907" s="23" t="s">
        <v>1</v>
      </c>
    </row>
    <row r="908" spans="4:13" ht="12" customHeight="1">
      <c r="D908" s="135"/>
      <c r="E908" s="90"/>
      <c r="F908" s="50"/>
      <c r="G908" s="50"/>
      <c r="H908" s="50"/>
      <c r="I908" s="22"/>
      <c r="J908" s="23"/>
      <c r="K908" s="138"/>
      <c r="L908" s="22"/>
      <c r="M908" s="23"/>
    </row>
    <row r="909" spans="4:13" ht="12" customHeight="1">
      <c r="D909" s="135"/>
      <c r="E909" s="90"/>
      <c r="F909" s="50"/>
      <c r="G909" s="50"/>
      <c r="H909" s="50"/>
      <c r="I909" s="22"/>
      <c r="J909" s="23"/>
      <c r="K909" s="138"/>
      <c r="L909" s="22"/>
      <c r="M909" s="23"/>
    </row>
    <row r="910" spans="4:13" ht="12" customHeight="1">
      <c r="D910" s="135"/>
      <c r="E910" s="90"/>
      <c r="F910" s="50"/>
      <c r="G910" s="50"/>
      <c r="H910" s="50"/>
      <c r="I910" s="22"/>
      <c r="J910" s="23"/>
      <c r="K910" s="138"/>
      <c r="L910" s="22"/>
      <c r="M910" s="23"/>
    </row>
    <row r="911" spans="4:13" ht="12" customHeight="1">
      <c r="D911" s="135"/>
      <c r="E911" s="90"/>
      <c r="F911" s="50"/>
      <c r="G911" s="50"/>
      <c r="H911" s="50"/>
      <c r="I911" s="22"/>
      <c r="J911" s="23"/>
      <c r="K911" s="138"/>
      <c r="L911" s="22"/>
      <c r="M911" s="23"/>
    </row>
    <row r="912" spans="4:13" ht="12" customHeight="1">
      <c r="D912" s="135"/>
      <c r="E912" s="90"/>
      <c r="F912" s="50"/>
      <c r="G912" s="50"/>
      <c r="H912" s="50"/>
      <c r="I912" s="22"/>
      <c r="J912" s="23"/>
      <c r="K912" s="138"/>
      <c r="L912" s="22"/>
      <c r="M912" s="23"/>
    </row>
    <row r="913" spans="4:13" ht="12" customHeight="1">
      <c r="D913" s="135"/>
      <c r="E913" s="90"/>
      <c r="F913" s="50"/>
      <c r="G913" s="50"/>
      <c r="H913" s="50"/>
      <c r="I913" s="22"/>
      <c r="J913" s="23"/>
      <c r="K913" s="138"/>
      <c r="L913" s="22"/>
      <c r="M913" s="23"/>
    </row>
    <row r="914" spans="4:13" ht="12" customHeight="1">
      <c r="D914" s="135"/>
      <c r="E914" s="90"/>
      <c r="F914" s="50"/>
      <c r="G914" s="50"/>
      <c r="H914" s="50"/>
      <c r="I914" s="22"/>
      <c r="J914" s="23"/>
      <c r="K914" s="138"/>
      <c r="L914" s="22"/>
      <c r="M914" s="23"/>
    </row>
    <row r="915" spans="4:13" ht="12" customHeight="1">
      <c r="D915" s="135"/>
      <c r="E915" s="90"/>
      <c r="F915" s="50"/>
      <c r="G915" s="50"/>
      <c r="H915" s="50"/>
      <c r="I915" s="22"/>
      <c r="J915" s="23"/>
      <c r="K915" s="138"/>
      <c r="L915" s="22"/>
      <c r="M915" s="23"/>
    </row>
    <row r="916" spans="4:13" ht="12" customHeight="1">
      <c r="D916" s="135"/>
      <c r="E916" s="90"/>
      <c r="F916" s="50"/>
      <c r="G916" s="50"/>
      <c r="H916" s="50"/>
      <c r="I916" s="22"/>
      <c r="J916" s="23"/>
      <c r="K916" s="138"/>
      <c r="L916" s="22"/>
      <c r="M916" s="23"/>
    </row>
    <row r="917" spans="4:13" ht="12" customHeight="1">
      <c r="D917" s="135"/>
      <c r="E917" s="90"/>
      <c r="F917" s="50"/>
      <c r="G917" s="50"/>
      <c r="H917" s="50"/>
      <c r="I917" s="22"/>
      <c r="J917" s="23"/>
      <c r="K917" s="138"/>
      <c r="L917" s="22"/>
      <c r="M917" s="23"/>
    </row>
    <row r="918" spans="4:13" ht="12" customHeight="1">
      <c r="D918" s="135"/>
      <c r="E918" s="90"/>
      <c r="F918" s="50"/>
      <c r="G918" s="50"/>
      <c r="H918" s="50"/>
      <c r="I918" s="22"/>
      <c r="J918" s="23"/>
      <c r="K918" s="138"/>
      <c r="L918" s="22"/>
      <c r="M918" s="23"/>
    </row>
    <row r="919" spans="4:13" ht="12" customHeight="1">
      <c r="D919" s="135"/>
      <c r="E919" s="90"/>
      <c r="F919" s="50"/>
      <c r="G919" s="50"/>
      <c r="H919" s="50"/>
      <c r="I919" s="22"/>
      <c r="J919" s="23"/>
      <c r="K919" s="138"/>
      <c r="L919" s="22"/>
      <c r="M919" s="23"/>
    </row>
    <row r="920" spans="4:13" ht="12" customHeight="1">
      <c r="D920" s="135"/>
      <c r="E920" s="90"/>
      <c r="F920" s="50"/>
      <c r="G920" s="50"/>
      <c r="H920" s="50"/>
      <c r="I920" s="22"/>
      <c r="J920" s="23"/>
      <c r="K920" s="138"/>
      <c r="L920" s="22"/>
      <c r="M920" s="23"/>
    </row>
    <row r="921" spans="4:13" ht="12" customHeight="1">
      <c r="D921" s="135"/>
      <c r="E921" s="90"/>
      <c r="F921" s="50"/>
      <c r="G921" s="50"/>
      <c r="H921" s="50"/>
      <c r="I921" s="22"/>
      <c r="J921" s="23"/>
      <c r="K921" s="138"/>
      <c r="L921" s="22"/>
      <c r="M921" s="23"/>
    </row>
    <row r="922" spans="4:13" ht="12" customHeight="1">
      <c r="D922" s="135"/>
      <c r="E922" s="90"/>
      <c r="F922" s="50"/>
      <c r="G922" s="50"/>
      <c r="H922" s="50"/>
      <c r="I922" s="22"/>
      <c r="J922" s="23"/>
      <c r="K922" s="138"/>
      <c r="L922" s="22"/>
      <c r="M922" s="23"/>
    </row>
    <row r="923" spans="4:13" ht="12" customHeight="1">
      <c r="D923" s="135"/>
      <c r="E923" s="90"/>
      <c r="F923" s="50"/>
      <c r="G923" s="50"/>
      <c r="H923" s="50"/>
      <c r="I923" s="22"/>
      <c r="J923" s="23"/>
      <c r="K923" s="138"/>
      <c r="L923" s="22"/>
      <c r="M923" s="23"/>
    </row>
    <row r="924" spans="4:13" ht="12" customHeight="1">
      <c r="D924" s="135"/>
      <c r="E924" s="90"/>
      <c r="F924" s="50"/>
      <c r="G924" s="50"/>
      <c r="H924" s="50"/>
      <c r="I924" s="22"/>
      <c r="J924" s="23"/>
      <c r="K924" s="138"/>
      <c r="L924" s="22"/>
      <c r="M924" s="23"/>
    </row>
    <row r="925" spans="4:13" ht="12" customHeight="1">
      <c r="D925" s="135"/>
      <c r="E925" s="90"/>
      <c r="F925" s="50"/>
      <c r="G925" s="50"/>
      <c r="H925" s="50"/>
      <c r="I925" s="22"/>
      <c r="J925" s="23"/>
      <c r="K925" s="138"/>
      <c r="L925" s="22"/>
      <c r="M925" s="23"/>
    </row>
    <row r="926" spans="4:13" ht="12" customHeight="1">
      <c r="D926" s="135"/>
      <c r="E926" s="90"/>
      <c r="F926" s="50"/>
      <c r="G926" s="50"/>
      <c r="H926" s="50"/>
      <c r="I926" s="22"/>
      <c r="J926" s="23"/>
      <c r="K926" s="138"/>
      <c r="L926" s="22"/>
      <c r="M926" s="23"/>
    </row>
    <row r="927" spans="4:13" ht="12" customHeight="1">
      <c r="D927" s="135"/>
      <c r="E927" s="90"/>
      <c r="F927" s="50"/>
      <c r="G927" s="50"/>
      <c r="H927" s="50"/>
      <c r="I927" s="22"/>
      <c r="J927" s="23"/>
      <c r="K927" s="138"/>
      <c r="L927" s="22"/>
      <c r="M927" s="23"/>
    </row>
    <row r="928" spans="4:13" ht="12" customHeight="1">
      <c r="D928" s="135"/>
      <c r="E928" s="90"/>
      <c r="F928" s="50"/>
      <c r="G928" s="50"/>
      <c r="H928" s="50"/>
      <c r="I928" s="22"/>
      <c r="J928" s="23"/>
      <c r="K928" s="138"/>
      <c r="L928" s="22"/>
      <c r="M928" s="23"/>
    </row>
    <row r="929" spans="4:13" ht="12" customHeight="1">
      <c r="D929" s="135"/>
      <c r="E929" s="90"/>
      <c r="F929" s="50"/>
      <c r="G929" s="50"/>
      <c r="H929" s="50"/>
      <c r="I929" s="22"/>
      <c r="J929" s="23"/>
      <c r="K929" s="138"/>
      <c r="L929" s="22"/>
      <c r="M929" s="23"/>
    </row>
    <row r="930" spans="4:13" ht="12" customHeight="1">
      <c r="D930" s="135"/>
      <c r="E930" s="90"/>
      <c r="F930" s="50"/>
      <c r="G930" s="50"/>
      <c r="H930" s="50"/>
      <c r="I930" s="22"/>
      <c r="J930" s="23"/>
      <c r="K930" s="138"/>
      <c r="L930" s="22"/>
      <c r="M930" s="23"/>
    </row>
    <row r="931" spans="4:13" ht="12" customHeight="1">
      <c r="D931" s="135"/>
      <c r="E931" s="90"/>
      <c r="F931" s="50"/>
      <c r="G931" s="50"/>
      <c r="H931" s="50"/>
      <c r="I931" s="22"/>
      <c r="J931" s="23"/>
      <c r="K931" s="138"/>
      <c r="L931" s="22"/>
      <c r="M931" s="23"/>
    </row>
    <row r="932" spans="4:13" ht="12" customHeight="1">
      <c r="D932" s="135"/>
      <c r="E932" s="90"/>
      <c r="F932" s="50"/>
      <c r="G932" s="50"/>
      <c r="H932" s="50"/>
      <c r="I932" s="22"/>
      <c r="J932" s="23"/>
      <c r="K932" s="138"/>
      <c r="L932" s="22"/>
      <c r="M932" s="23"/>
    </row>
    <row r="933" spans="4:13" ht="12" customHeight="1">
      <c r="D933" s="135"/>
      <c r="E933" s="90"/>
      <c r="F933" s="50"/>
      <c r="G933" s="50"/>
      <c r="H933" s="50"/>
      <c r="I933" s="22"/>
      <c r="J933" s="23"/>
      <c r="K933" s="138"/>
      <c r="L933" s="22"/>
      <c r="M933" s="23"/>
    </row>
    <row r="934" spans="4:13" ht="12" customHeight="1">
      <c r="D934" s="135"/>
      <c r="E934" s="90"/>
      <c r="F934" s="50"/>
      <c r="G934" s="50"/>
      <c r="H934" s="50"/>
      <c r="I934" s="22"/>
      <c r="J934" s="23"/>
      <c r="K934" s="138"/>
      <c r="L934" s="22"/>
      <c r="M934" s="23"/>
    </row>
    <row r="935" spans="4:13" ht="12" customHeight="1">
      <c r="D935" s="135"/>
      <c r="E935" s="90"/>
      <c r="F935" s="50"/>
      <c r="G935" s="50"/>
      <c r="H935" s="50"/>
      <c r="I935" s="22"/>
      <c r="J935" s="23"/>
      <c r="K935" s="138"/>
      <c r="L935" s="22"/>
      <c r="M935" s="23"/>
    </row>
    <row r="936" spans="4:13" ht="12" customHeight="1">
      <c r="D936" s="135"/>
      <c r="E936" s="90"/>
      <c r="F936" s="50"/>
      <c r="G936" s="50"/>
      <c r="H936" s="50"/>
      <c r="I936" s="22"/>
      <c r="J936" s="23"/>
      <c r="K936" s="138"/>
      <c r="L936" s="22"/>
      <c r="M936" s="23"/>
    </row>
    <row r="937" spans="4:13" ht="12" customHeight="1">
      <c r="D937" s="135"/>
      <c r="E937" s="90"/>
      <c r="F937" s="50"/>
      <c r="G937" s="50"/>
      <c r="H937" s="50"/>
      <c r="I937" s="22"/>
      <c r="J937" s="23"/>
      <c r="K937" s="138"/>
      <c r="L937" s="22"/>
      <c r="M937" s="23"/>
    </row>
    <row r="938" spans="4:13" ht="12" customHeight="1">
      <c r="D938" s="135"/>
      <c r="E938" s="90"/>
      <c r="F938" s="50"/>
      <c r="G938" s="50"/>
      <c r="H938" s="50"/>
      <c r="I938" s="22"/>
      <c r="J938" s="23"/>
      <c r="K938" s="138"/>
      <c r="L938" s="22"/>
      <c r="M938" s="23"/>
    </row>
    <row r="939" spans="4:13" ht="12" customHeight="1">
      <c r="D939" s="135"/>
      <c r="E939" s="90"/>
      <c r="F939" s="50"/>
      <c r="G939" s="50"/>
      <c r="H939" s="50"/>
      <c r="I939" s="22"/>
      <c r="J939" s="23"/>
      <c r="K939" s="138"/>
      <c r="L939" s="22"/>
      <c r="M939" s="23"/>
    </row>
    <row r="940" spans="4:13" ht="12" customHeight="1">
      <c r="D940" s="135"/>
      <c r="E940" s="90"/>
      <c r="F940" s="50"/>
      <c r="G940" s="50"/>
      <c r="H940" s="50"/>
      <c r="I940" s="22"/>
      <c r="J940" s="23"/>
      <c r="K940" s="138"/>
      <c r="L940" s="22"/>
      <c r="M940" s="23"/>
    </row>
    <row r="941" spans="4:13" ht="12" customHeight="1">
      <c r="D941" s="135"/>
      <c r="E941" s="90"/>
      <c r="F941" s="50"/>
      <c r="G941" s="50"/>
      <c r="H941" s="50"/>
      <c r="I941" s="22"/>
      <c r="J941" s="23"/>
      <c r="K941" s="138"/>
      <c r="L941" s="22"/>
      <c r="M941" s="23"/>
    </row>
    <row r="942" spans="4:13" ht="12" customHeight="1">
      <c r="D942" s="135"/>
      <c r="E942" s="90"/>
      <c r="F942" s="50"/>
      <c r="G942" s="50"/>
      <c r="H942" s="50"/>
      <c r="I942" s="22"/>
      <c r="J942" s="23"/>
      <c r="K942" s="138"/>
      <c r="L942" s="22"/>
      <c r="M942" s="23"/>
    </row>
    <row r="943" spans="4:13" ht="12" customHeight="1">
      <c r="D943" s="135"/>
      <c r="E943" s="90"/>
      <c r="F943" s="50"/>
      <c r="G943" s="50"/>
      <c r="H943" s="50"/>
      <c r="I943" s="22"/>
      <c r="J943" s="23"/>
      <c r="K943" s="138"/>
      <c r="L943" s="22"/>
      <c r="M943" s="23"/>
    </row>
    <row r="944" spans="4:13" ht="12" customHeight="1">
      <c r="D944" s="135"/>
      <c r="E944" s="90"/>
      <c r="F944" s="50"/>
      <c r="G944" s="50"/>
      <c r="H944" s="50"/>
      <c r="I944" s="22"/>
      <c r="J944" s="23"/>
      <c r="K944" s="138"/>
      <c r="L944" s="22"/>
      <c r="M944" s="23"/>
    </row>
    <row r="945" spans="4:13" ht="12" customHeight="1">
      <c r="D945" s="135"/>
      <c r="E945" s="90"/>
      <c r="F945" s="50"/>
      <c r="G945" s="50"/>
      <c r="H945" s="50"/>
      <c r="I945" s="22"/>
      <c r="J945" s="23"/>
      <c r="K945" s="138"/>
      <c r="L945" s="22"/>
      <c r="M945" s="23"/>
    </row>
    <row r="946" spans="4:13" ht="12" customHeight="1">
      <c r="D946" s="135"/>
      <c r="E946" s="90"/>
      <c r="F946" s="50"/>
      <c r="G946" s="50"/>
      <c r="H946" s="50"/>
      <c r="I946" s="22"/>
      <c r="J946" s="23"/>
      <c r="K946" s="138"/>
      <c r="L946" s="22"/>
      <c r="M946" s="23"/>
    </row>
    <row r="947" spans="4:13" ht="12" customHeight="1">
      <c r="D947" s="135"/>
      <c r="E947" s="90"/>
      <c r="F947" s="50"/>
      <c r="G947" s="50"/>
      <c r="H947" s="50"/>
      <c r="I947" s="22"/>
      <c r="J947" s="23"/>
      <c r="K947" s="138"/>
      <c r="L947" s="22"/>
      <c r="M947" s="23"/>
    </row>
    <row r="948" spans="4:13" ht="12" customHeight="1">
      <c r="D948" s="135"/>
      <c r="E948" s="90"/>
      <c r="F948" s="50"/>
      <c r="G948" s="50"/>
      <c r="H948" s="50"/>
      <c r="I948" s="22"/>
      <c r="J948" s="23"/>
      <c r="K948" s="138"/>
      <c r="L948" s="22"/>
      <c r="M948" s="23"/>
    </row>
    <row r="949" spans="4:13" ht="12" customHeight="1">
      <c r="D949" s="135"/>
      <c r="E949" s="90"/>
      <c r="F949" s="50"/>
      <c r="G949" s="50"/>
      <c r="H949" s="50"/>
      <c r="I949" s="22"/>
      <c r="J949" s="23"/>
      <c r="K949" s="138"/>
      <c r="L949" s="22"/>
      <c r="M949" s="23"/>
    </row>
    <row r="950" spans="4:13" ht="12" customHeight="1">
      <c r="D950" s="135"/>
      <c r="E950" s="90"/>
      <c r="F950" s="50"/>
      <c r="G950" s="50"/>
      <c r="H950" s="50"/>
      <c r="I950" s="22"/>
      <c r="J950" s="23"/>
      <c r="K950" s="138"/>
      <c r="L950" s="22"/>
      <c r="M950" s="23"/>
    </row>
    <row r="951" spans="4:13" ht="12" customHeight="1">
      <c r="D951" s="135"/>
      <c r="E951" s="90"/>
      <c r="F951" s="50"/>
      <c r="G951" s="50"/>
      <c r="H951" s="50"/>
      <c r="I951" s="22"/>
      <c r="J951" s="23"/>
      <c r="K951" s="138"/>
      <c r="L951" s="22"/>
      <c r="M951" s="23"/>
    </row>
    <row r="952" spans="4:13" ht="12">
      <c r="D952" s="12"/>
      <c r="I952" s="17"/>
      <c r="J952" s="55"/>
      <c r="K952" s="68"/>
      <c r="L952" s="17"/>
      <c r="M952" s="55"/>
    </row>
    <row r="953" spans="4:13" ht="12">
      <c r="D953" s="12"/>
      <c r="I953" s="17"/>
      <c r="J953" s="55"/>
      <c r="K953" s="68"/>
      <c r="L953" s="17"/>
      <c r="M953" s="55"/>
    </row>
    <row r="954" spans="4:13" ht="12">
      <c r="D954" s="12"/>
      <c r="I954" s="17"/>
      <c r="J954" s="55"/>
      <c r="K954" s="68"/>
      <c r="L954" s="17"/>
      <c r="M954" s="55"/>
    </row>
    <row r="955" spans="4:13" ht="12">
      <c r="D955" s="12"/>
      <c r="I955" s="17"/>
      <c r="J955" s="55"/>
      <c r="K955" s="68"/>
      <c r="L955" s="17"/>
      <c r="M955" s="55"/>
    </row>
    <row r="956" spans="4:13" ht="12">
      <c r="D956" s="12"/>
      <c r="I956" s="17"/>
      <c r="J956" s="55"/>
      <c r="K956" s="68"/>
      <c r="L956" s="17"/>
      <c r="M956" s="55"/>
    </row>
    <row r="957" spans="4:13" ht="12">
      <c r="D957" s="12"/>
      <c r="I957" s="17"/>
      <c r="J957" s="55"/>
      <c r="K957" s="68"/>
      <c r="L957" s="17"/>
      <c r="M957" s="55"/>
    </row>
    <row r="958" spans="4:13" ht="12">
      <c r="D958" s="12"/>
      <c r="I958" s="17"/>
      <c r="J958" s="55"/>
      <c r="K958" s="68"/>
      <c r="L958" s="17"/>
      <c r="M958" s="55"/>
    </row>
    <row r="959" spans="4:13" ht="12">
      <c r="D959" s="12"/>
      <c r="I959" s="17"/>
      <c r="J959" s="55"/>
      <c r="K959" s="68"/>
      <c r="L959" s="17"/>
      <c r="M959" s="55"/>
    </row>
    <row r="960" spans="4:13" ht="12">
      <c r="D960" s="12"/>
      <c r="I960" s="17"/>
      <c r="J960" s="55"/>
      <c r="K960" s="68"/>
      <c r="L960" s="17"/>
      <c r="M960" s="55"/>
    </row>
    <row r="961" spans="4:13" ht="12">
      <c r="D961" s="12"/>
      <c r="I961" s="17"/>
      <c r="J961" s="55"/>
      <c r="K961" s="68"/>
      <c r="L961" s="17"/>
      <c r="M961" s="55"/>
    </row>
    <row r="962" spans="4:13" ht="12">
      <c r="D962" s="12"/>
      <c r="I962" s="17"/>
      <c r="J962" s="55"/>
      <c r="K962" s="68"/>
      <c r="L962" s="17"/>
      <c r="M962" s="55"/>
    </row>
    <row r="963" spans="4:13" ht="12">
      <c r="D963" s="12"/>
      <c r="I963" s="17"/>
      <c r="J963" s="55"/>
      <c r="K963" s="68"/>
      <c r="L963" s="17"/>
      <c r="M963" s="55"/>
    </row>
    <row r="964" spans="4:13" ht="12">
      <c r="D964" s="12"/>
      <c r="I964" s="17"/>
      <c r="J964" s="55"/>
      <c r="K964" s="68"/>
      <c r="L964" s="17"/>
      <c r="M964" s="55"/>
    </row>
    <row r="965" spans="4:13" ht="12">
      <c r="D965" s="12"/>
      <c r="I965" s="17"/>
      <c r="J965" s="55"/>
      <c r="K965" s="68"/>
      <c r="L965" s="17"/>
      <c r="M965" s="55"/>
    </row>
    <row r="966" spans="4:13" ht="12">
      <c r="D966" s="12"/>
      <c r="I966" s="17"/>
      <c r="J966" s="55"/>
      <c r="K966" s="68"/>
      <c r="L966" s="17"/>
      <c r="M966" s="55"/>
    </row>
    <row r="967" spans="4:13" ht="12">
      <c r="D967" s="12"/>
      <c r="I967" s="17"/>
      <c r="J967" s="55"/>
      <c r="K967" s="68"/>
      <c r="L967" s="17"/>
      <c r="M967" s="55"/>
    </row>
    <row r="968" spans="4:13" ht="12">
      <c r="D968" s="12"/>
      <c r="I968" s="17"/>
      <c r="J968" s="55"/>
      <c r="K968" s="68"/>
      <c r="L968" s="17"/>
      <c r="M968" s="55"/>
    </row>
    <row r="969" spans="4:13" ht="12">
      <c r="D969" s="12"/>
      <c r="I969" s="17"/>
      <c r="J969" s="55"/>
      <c r="K969" s="68"/>
      <c r="L969" s="17"/>
      <c r="M969" s="55"/>
    </row>
    <row r="970" spans="4:13" ht="12">
      <c r="D970" s="12"/>
      <c r="I970" s="17"/>
      <c r="J970" s="55"/>
      <c r="K970" s="68"/>
      <c r="L970" s="17"/>
      <c r="M970" s="55"/>
    </row>
    <row r="971" spans="4:13" ht="12">
      <c r="D971" s="12"/>
      <c r="I971" s="17"/>
      <c r="J971" s="55"/>
      <c r="K971" s="68"/>
      <c r="L971" s="17"/>
      <c r="M971" s="55"/>
    </row>
    <row r="972" spans="4:13" ht="12">
      <c r="D972" s="12"/>
      <c r="I972" s="17"/>
      <c r="J972" s="55"/>
      <c r="K972" s="68"/>
      <c r="L972" s="17"/>
      <c r="M972" s="55"/>
    </row>
    <row r="973" spans="4:13" ht="12">
      <c r="D973" s="12"/>
      <c r="I973" s="17"/>
      <c r="J973" s="55"/>
      <c r="K973" s="68"/>
      <c r="L973" s="17"/>
      <c r="M973" s="55"/>
    </row>
    <row r="974" spans="4:13" ht="12">
      <c r="D974" s="12"/>
      <c r="I974" s="17"/>
      <c r="J974" s="55"/>
      <c r="K974" s="68"/>
      <c r="L974" s="17"/>
      <c r="M974" s="55"/>
    </row>
    <row r="975" spans="4:13" ht="12">
      <c r="D975" s="12"/>
      <c r="I975" s="17"/>
      <c r="J975" s="55"/>
      <c r="K975" s="68"/>
      <c r="L975" s="17"/>
      <c r="M975" s="55"/>
    </row>
    <row r="976" spans="4:13" ht="12">
      <c r="D976" s="12"/>
      <c r="I976" s="17"/>
      <c r="J976" s="55"/>
      <c r="K976" s="68"/>
      <c r="L976" s="17"/>
      <c r="M976" s="55"/>
    </row>
    <row r="1015" spans="4:13" ht="12">
      <c r="D1015" s="25"/>
      <c r="F1015" s="50"/>
      <c r="G1015" s="50"/>
      <c r="H1015" s="50"/>
      <c r="I1015" s="17"/>
      <c r="J1015" s="55"/>
      <c r="L1015" s="17"/>
      <c r="M1015" s="55"/>
    </row>
  </sheetData>
  <sheetProtection/>
  <mergeCells count="29">
    <mergeCell ref="A383:M383"/>
    <mergeCell ref="A457:M457"/>
    <mergeCell ref="A78:M78"/>
    <mergeCell ref="A643:M643"/>
    <mergeCell ref="A37:M37"/>
    <mergeCell ref="B224:M224"/>
    <mergeCell ref="A128:M128"/>
    <mergeCell ref="A419:M419"/>
    <mergeCell ref="A177:M177"/>
    <mergeCell ref="A569:M569"/>
    <mergeCell ref="G874:H874"/>
    <mergeCell ref="I874:J874"/>
    <mergeCell ref="A532:M532"/>
    <mergeCell ref="A606:M606"/>
    <mergeCell ref="A761:M761"/>
    <mergeCell ref="L874:M874"/>
    <mergeCell ref="A716:M716"/>
    <mergeCell ref="D872:F872"/>
    <mergeCell ref="A836:M836"/>
    <mergeCell ref="A800:M800"/>
    <mergeCell ref="A871:M871"/>
    <mergeCell ref="A679:M679"/>
    <mergeCell ref="A5:M5"/>
    <mergeCell ref="A8:M8"/>
    <mergeCell ref="A9:M9"/>
    <mergeCell ref="A20:M20"/>
    <mergeCell ref="A21:M21"/>
    <mergeCell ref="A495:M495"/>
    <mergeCell ref="A33:M33"/>
  </mergeCells>
  <printOptions/>
  <pageMargins left="0.75" right="0.5" top="1" bottom="1" header="0.5" footer="0.24"/>
  <pageSetup fitToHeight="47" horizontalDpi="600" verticalDpi="600" orientation="landscape" scale="70" r:id="rId1"/>
  <rowBreaks count="23" manualBreakCount="23">
    <brk id="34" max="12" man="1"/>
    <brk id="75" max="12" man="1"/>
    <brk id="125" max="12" man="1"/>
    <brk id="174" max="12" man="1"/>
    <brk id="221" max="255" man="1"/>
    <brk id="271" max="12" man="1"/>
    <brk id="320" max="12" man="1"/>
    <brk id="341" max="12" man="1"/>
    <brk id="380" max="12" man="1"/>
    <brk id="416" max="255" man="1"/>
    <brk id="454" max="12" man="1"/>
    <brk id="492" max="12" man="1"/>
    <brk id="529" max="12" man="1"/>
    <brk id="566" max="12" man="1"/>
    <brk id="603" max="12" man="1"/>
    <brk id="640" max="12" man="1"/>
    <brk id="676" max="12" man="1"/>
    <brk id="713" max="255" man="1"/>
    <brk id="758" max="255" man="1"/>
    <brk id="797" max="12" man="1"/>
    <brk id="833" max="12" man="1"/>
    <brk id="868" max="12" man="1"/>
    <brk id="90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V399"/>
  <sheetViews>
    <sheetView showGridLines="0" zoomScale="75" zoomScaleNormal="75" zoomScaleSheetLayoutView="65" workbookViewId="0" topLeftCell="A1">
      <selection activeCell="L19" sqref="L19"/>
    </sheetView>
  </sheetViews>
  <sheetFormatPr defaultColWidth="9.625" defaultRowHeight="12.75"/>
  <cols>
    <col min="1" max="1" width="7.625" style="7" customWidth="1"/>
    <col min="2" max="2" width="1.875" style="7" customWidth="1"/>
    <col min="3" max="3" width="38.625" style="7" customWidth="1"/>
    <col min="4" max="4" width="19.125" style="7" customWidth="1"/>
    <col min="5" max="6" width="8.125" style="7" customWidth="1"/>
    <col min="7" max="7" width="10.625" style="7" customWidth="1"/>
    <col min="8" max="8" width="13.625" style="7" customWidth="1"/>
    <col min="9" max="9" width="10.625" style="8" customWidth="1"/>
    <col min="10" max="10" width="13.625" style="9" customWidth="1"/>
    <col min="11" max="11" width="8.875" style="7" customWidth="1"/>
    <col min="12" max="12" width="9.75390625" style="8" customWidth="1"/>
    <col min="13" max="13" width="13.625" style="9" customWidth="1"/>
    <col min="14" max="14" width="9.625" style="7" customWidth="1"/>
    <col min="15" max="15" width="10.75390625" style="7" bestFit="1" customWidth="1"/>
    <col min="16" max="16384" width="9.625" style="7" customWidth="1"/>
  </cols>
  <sheetData>
    <row r="2" ht="12">
      <c r="M2" s="10" t="s">
        <v>147</v>
      </c>
    </row>
    <row r="3" ht="12">
      <c r="M3" s="202" t="s">
        <v>255</v>
      </c>
    </row>
    <row r="5" spans="1:13" ht="45">
      <c r="A5" s="263" t="s">
        <v>146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8" spans="1:13" s="45" customFormat="1" ht="33">
      <c r="A8" s="264" t="s">
        <v>256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3" s="45" customFormat="1" ht="33">
      <c r="A9" s="264" t="s">
        <v>257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20" spans="1:13" ht="45">
      <c r="A20" s="278" t="s">
        <v>682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</row>
    <row r="21" spans="1:13" ht="45">
      <c r="A21" s="278" t="s">
        <v>683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</row>
    <row r="33" spans="1:13" ht="12.75">
      <c r="A33" s="266" t="s">
        <v>258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</row>
    <row r="35" spans="9:13" ht="12">
      <c r="I35" s="7"/>
      <c r="J35" s="7"/>
      <c r="L35" s="7"/>
      <c r="M35" s="7"/>
    </row>
    <row r="36" spans="1:13" ht="12">
      <c r="A36" s="19" t="s">
        <v>684</v>
      </c>
      <c r="I36" s="17"/>
      <c r="M36" s="18" t="s">
        <v>18</v>
      </c>
    </row>
    <row r="37" spans="1:13" s="46" customFormat="1" ht="12">
      <c r="A37" s="261" t="s">
        <v>19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</row>
    <row r="38" spans="1:13" ht="12">
      <c r="A38" s="19"/>
      <c r="I38" s="17"/>
      <c r="K38" s="5"/>
      <c r="L38" s="17"/>
      <c r="M38" s="20" t="str">
        <f>$M$3</f>
        <v>Date: 10/1/2008</v>
      </c>
    </row>
    <row r="39" spans="1:13" ht="12">
      <c r="A39" s="21" t="s">
        <v>1</v>
      </c>
      <c r="B39" s="21" t="s">
        <v>1</v>
      </c>
      <c r="C39" s="21" t="s">
        <v>1</v>
      </c>
      <c r="D39" s="21" t="s">
        <v>1</v>
      </c>
      <c r="E39" s="21" t="s">
        <v>1</v>
      </c>
      <c r="F39" s="21" t="s">
        <v>1</v>
      </c>
      <c r="G39" s="21"/>
      <c r="H39" s="21"/>
      <c r="I39" s="22" t="s">
        <v>1</v>
      </c>
      <c r="J39" s="23" t="s">
        <v>1</v>
      </c>
      <c r="K39" s="21" t="s">
        <v>1</v>
      </c>
      <c r="L39" s="22" t="s">
        <v>1</v>
      </c>
      <c r="M39" s="23" t="s">
        <v>1</v>
      </c>
    </row>
    <row r="40" spans="1:13" ht="12">
      <c r="A40" s="24" t="s">
        <v>2</v>
      </c>
      <c r="C40" s="12" t="s">
        <v>3</v>
      </c>
      <c r="E40" s="24" t="s">
        <v>2</v>
      </c>
      <c r="F40" s="25"/>
      <c r="G40" s="25"/>
      <c r="H40" s="25" t="s">
        <v>249</v>
      </c>
      <c r="I40" s="26"/>
      <c r="J40" s="27" t="s">
        <v>251</v>
      </c>
      <c r="K40" s="25"/>
      <c r="L40" s="26"/>
      <c r="M40" s="27" t="s">
        <v>260</v>
      </c>
    </row>
    <row r="41" spans="1:13" ht="12">
      <c r="A41" s="24" t="s">
        <v>4</v>
      </c>
      <c r="C41" s="28" t="s">
        <v>5</v>
      </c>
      <c r="E41" s="24" t="s">
        <v>4</v>
      </c>
      <c r="F41" s="25"/>
      <c r="G41" s="25" t="s">
        <v>21</v>
      </c>
      <c r="H41" s="25" t="s">
        <v>7</v>
      </c>
      <c r="I41" s="26" t="s">
        <v>6</v>
      </c>
      <c r="J41" s="27" t="s">
        <v>7</v>
      </c>
      <c r="K41" s="25"/>
      <c r="L41" s="26" t="s">
        <v>6</v>
      </c>
      <c r="M41" s="27" t="s">
        <v>8</v>
      </c>
    </row>
    <row r="42" spans="1:13" ht="12">
      <c r="A42" s="21" t="s">
        <v>1</v>
      </c>
      <c r="B42" s="21" t="s">
        <v>1</v>
      </c>
      <c r="C42" s="21" t="s">
        <v>1</v>
      </c>
      <c r="D42" s="21" t="s">
        <v>1</v>
      </c>
      <c r="E42" s="21" t="s">
        <v>1</v>
      </c>
      <c r="F42" s="21" t="s">
        <v>1</v>
      </c>
      <c r="G42" s="21"/>
      <c r="H42" s="21"/>
      <c r="I42" s="22" t="s">
        <v>1</v>
      </c>
      <c r="J42" s="22" t="s">
        <v>1</v>
      </c>
      <c r="K42" s="21" t="s">
        <v>1</v>
      </c>
      <c r="L42" s="22" t="s">
        <v>1</v>
      </c>
      <c r="M42" s="23" t="s">
        <v>1</v>
      </c>
    </row>
    <row r="43" spans="1:13" ht="12.75">
      <c r="A43" s="11">
        <v>1</v>
      </c>
      <c r="C43" s="12" t="s">
        <v>9</v>
      </c>
      <c r="D43" s="29" t="s">
        <v>106</v>
      </c>
      <c r="E43" s="11">
        <v>1</v>
      </c>
      <c r="G43" s="47">
        <v>0</v>
      </c>
      <c r="H43" s="201">
        <v>0</v>
      </c>
      <c r="I43" s="47">
        <v>0</v>
      </c>
      <c r="J43" s="48"/>
      <c r="K43" s="30"/>
      <c r="L43" s="47"/>
      <c r="M43" s="48"/>
    </row>
    <row r="44" spans="1:13" ht="12.75">
      <c r="A44" s="11">
        <v>2</v>
      </c>
      <c r="C44" s="12" t="s">
        <v>10</v>
      </c>
      <c r="D44" s="29" t="s">
        <v>107</v>
      </c>
      <c r="E44" s="11">
        <v>2</v>
      </c>
      <c r="G44" s="47">
        <v>0</v>
      </c>
      <c r="H44" s="201">
        <v>0</v>
      </c>
      <c r="I44" s="47">
        <v>0</v>
      </c>
      <c r="J44" s="48"/>
      <c r="K44" s="30"/>
      <c r="L44" s="47"/>
      <c r="M44" s="48"/>
    </row>
    <row r="45" spans="1:13" ht="12.75">
      <c r="A45" s="11">
        <v>3</v>
      </c>
      <c r="C45" s="12" t="s">
        <v>11</v>
      </c>
      <c r="D45" s="29" t="s">
        <v>108</v>
      </c>
      <c r="E45" s="11">
        <v>3</v>
      </c>
      <c r="G45" s="47">
        <v>0</v>
      </c>
      <c r="H45" s="201">
        <v>0</v>
      </c>
      <c r="I45" s="47">
        <v>0</v>
      </c>
      <c r="J45" s="48"/>
      <c r="K45" s="30"/>
      <c r="L45" s="47"/>
      <c r="M45" s="48"/>
    </row>
    <row r="46" spans="1:13" ht="12.75">
      <c r="A46" s="11">
        <v>4</v>
      </c>
      <c r="C46" s="12" t="s">
        <v>12</v>
      </c>
      <c r="D46" s="29" t="s">
        <v>109</v>
      </c>
      <c r="E46" s="11">
        <v>4</v>
      </c>
      <c r="G46" s="47">
        <v>0</v>
      </c>
      <c r="H46" s="201">
        <v>0</v>
      </c>
      <c r="I46" s="47">
        <v>0</v>
      </c>
      <c r="J46" s="48"/>
      <c r="K46" s="30"/>
      <c r="L46" s="47"/>
      <c r="M46" s="48"/>
    </row>
    <row r="47" spans="1:13" ht="12.75">
      <c r="A47" s="11">
        <v>5</v>
      </c>
      <c r="C47" s="12" t="s">
        <v>13</v>
      </c>
      <c r="D47" s="29" t="s">
        <v>110</v>
      </c>
      <c r="E47" s="11">
        <v>5</v>
      </c>
      <c r="G47" s="47">
        <v>0</v>
      </c>
      <c r="H47" s="201">
        <v>0</v>
      </c>
      <c r="I47" s="47">
        <v>0</v>
      </c>
      <c r="J47" s="48"/>
      <c r="K47" s="30"/>
      <c r="L47" s="47"/>
      <c r="M47" s="48"/>
    </row>
    <row r="48" spans="1:13" ht="12.75">
      <c r="A48" s="11">
        <v>6</v>
      </c>
      <c r="C48" s="12" t="s">
        <v>14</v>
      </c>
      <c r="D48" s="29" t="s">
        <v>111</v>
      </c>
      <c r="E48" s="11">
        <v>6</v>
      </c>
      <c r="G48" s="47">
        <v>0</v>
      </c>
      <c r="H48" s="201">
        <v>0</v>
      </c>
      <c r="I48" s="47">
        <v>0</v>
      </c>
      <c r="J48" s="48">
        <f>J215</f>
        <v>0</v>
      </c>
      <c r="K48" s="30"/>
      <c r="L48" s="47">
        <f>+L215</f>
        <v>0</v>
      </c>
      <c r="M48" s="48"/>
    </row>
    <row r="49" spans="1:13" ht="12.75">
      <c r="A49" s="11">
        <v>7</v>
      </c>
      <c r="C49" s="12" t="s">
        <v>59</v>
      </c>
      <c r="D49" s="29" t="s">
        <v>112</v>
      </c>
      <c r="E49" s="11">
        <v>7</v>
      </c>
      <c r="G49" s="47">
        <v>0</v>
      </c>
      <c r="H49" s="201">
        <v>0</v>
      </c>
      <c r="I49" s="47">
        <v>0</v>
      </c>
      <c r="J49" s="48"/>
      <c r="K49" s="30"/>
      <c r="L49" s="47"/>
      <c r="M49" s="48"/>
    </row>
    <row r="50" spans="1:13" ht="12.75">
      <c r="A50" s="11">
        <v>8</v>
      </c>
      <c r="C50" s="12" t="s">
        <v>15</v>
      </c>
      <c r="D50" s="29" t="s">
        <v>113</v>
      </c>
      <c r="E50" s="11">
        <v>8</v>
      </c>
      <c r="G50" s="47">
        <v>0</v>
      </c>
      <c r="H50" s="201">
        <v>0</v>
      </c>
      <c r="I50" s="47">
        <v>0</v>
      </c>
      <c r="J50" s="48">
        <f>+J251</f>
        <v>0</v>
      </c>
      <c r="K50" s="30"/>
      <c r="L50" s="47">
        <v>0</v>
      </c>
      <c r="M50" s="48">
        <f>+M251</f>
        <v>0</v>
      </c>
    </row>
    <row r="51" spans="1:13" ht="12.75">
      <c r="A51" s="11">
        <v>9</v>
      </c>
      <c r="C51" s="12" t="s">
        <v>90</v>
      </c>
      <c r="D51" s="29" t="s">
        <v>114</v>
      </c>
      <c r="E51" s="11">
        <v>9</v>
      </c>
      <c r="G51" s="47">
        <v>0</v>
      </c>
      <c r="H51" s="201">
        <v>0</v>
      </c>
      <c r="I51" s="47">
        <v>0</v>
      </c>
      <c r="J51" s="48">
        <v>0</v>
      </c>
      <c r="K51" s="30"/>
      <c r="L51" s="47">
        <v>0</v>
      </c>
      <c r="M51" s="48">
        <v>0</v>
      </c>
    </row>
    <row r="52" spans="1:13" ht="12">
      <c r="A52" s="11">
        <v>10</v>
      </c>
      <c r="C52" s="12" t="s">
        <v>16</v>
      </c>
      <c r="D52" s="29" t="s">
        <v>89</v>
      </c>
      <c r="E52" s="11">
        <v>10</v>
      </c>
      <c r="G52" s="47">
        <v>0</v>
      </c>
      <c r="H52" s="48">
        <f>H289</f>
        <v>26839805</v>
      </c>
      <c r="I52" s="47">
        <v>0</v>
      </c>
      <c r="J52" s="48">
        <f>+J289</f>
        <v>13662651</v>
      </c>
      <c r="K52" s="30"/>
      <c r="L52" s="47">
        <v>0</v>
      </c>
      <c r="M52" s="48">
        <f>+M289</f>
        <v>-1902545</v>
      </c>
    </row>
    <row r="53" spans="1:14" ht="12">
      <c r="A53" s="11"/>
      <c r="C53" s="12"/>
      <c r="D53" s="29"/>
      <c r="E53" s="11"/>
      <c r="F53" s="21" t="s">
        <v>1</v>
      </c>
      <c r="G53" s="21"/>
      <c r="H53" s="49"/>
      <c r="I53" s="22" t="s">
        <v>1</v>
      </c>
      <c r="J53" s="49"/>
      <c r="K53" s="32"/>
      <c r="L53" s="22"/>
      <c r="M53" s="49"/>
      <c r="N53" s="181"/>
    </row>
    <row r="54" spans="1:13" ht="12">
      <c r="A54" s="7">
        <v>11</v>
      </c>
      <c r="C54" s="12" t="s">
        <v>232</v>
      </c>
      <c r="E54" s="7">
        <v>11</v>
      </c>
      <c r="G54" s="47">
        <f>SUM(G43:G52)</f>
        <v>0</v>
      </c>
      <c r="H54" s="48">
        <f>SUM(H43:H52)</f>
        <v>26839805</v>
      </c>
      <c r="I54" s="47">
        <f>SUM(I43:I52)</f>
        <v>0</v>
      </c>
      <c r="J54" s="48">
        <f>SUM(J43:J52)</f>
        <v>13662651</v>
      </c>
      <c r="K54" s="30"/>
      <c r="L54" s="47">
        <f>SUM(L43:L52)</f>
        <v>0</v>
      </c>
      <c r="M54" s="48">
        <f>SUM(M43:M52)</f>
        <v>-1902545</v>
      </c>
    </row>
    <row r="55" spans="1:13" ht="12">
      <c r="A55" s="11"/>
      <c r="E55" s="11"/>
      <c r="F55" s="21" t="s">
        <v>1</v>
      </c>
      <c r="G55" s="21"/>
      <c r="H55" s="21"/>
      <c r="I55" s="22" t="s">
        <v>1</v>
      </c>
      <c r="J55" s="23"/>
      <c r="K55" s="32"/>
      <c r="L55" s="22"/>
      <c r="M55" s="23"/>
    </row>
    <row r="56" spans="1:13" ht="12">
      <c r="A56" s="11"/>
      <c r="E56" s="11"/>
      <c r="F56" s="21"/>
      <c r="G56" s="21"/>
      <c r="H56" s="21"/>
      <c r="I56" s="17"/>
      <c r="J56" s="23"/>
      <c r="K56" s="32"/>
      <c r="L56" s="17"/>
      <c r="M56" s="23"/>
    </row>
    <row r="57" spans="1:13" ht="12">
      <c r="A57" s="7">
        <v>12</v>
      </c>
      <c r="C57" s="12" t="s">
        <v>17</v>
      </c>
      <c r="E57" s="7">
        <v>12</v>
      </c>
      <c r="G57" s="30"/>
      <c r="H57" s="30"/>
      <c r="I57" s="31"/>
      <c r="J57" s="31"/>
      <c r="K57" s="30"/>
      <c r="L57" s="47"/>
      <c r="M57" s="31"/>
    </row>
    <row r="58" spans="1:13" ht="12">
      <c r="A58" s="11">
        <v>13</v>
      </c>
      <c r="C58" s="12" t="s">
        <v>205</v>
      </c>
      <c r="D58" s="29" t="s">
        <v>228</v>
      </c>
      <c r="E58" s="11">
        <v>13</v>
      </c>
      <c r="G58" s="47">
        <v>0</v>
      </c>
      <c r="H58" s="48">
        <v>0</v>
      </c>
      <c r="I58" s="47">
        <v>0</v>
      </c>
      <c r="J58" s="48"/>
      <c r="K58" s="30"/>
      <c r="L58" s="47">
        <v>0</v>
      </c>
      <c r="M58" s="48"/>
    </row>
    <row r="59" spans="1:13" ht="12">
      <c r="A59" s="11">
        <v>14</v>
      </c>
      <c r="C59" s="12" t="s">
        <v>206</v>
      </c>
      <c r="D59" s="29" t="s">
        <v>229</v>
      </c>
      <c r="E59" s="11">
        <v>14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</row>
    <row r="60" spans="1:13" ht="12">
      <c r="A60" s="11">
        <v>15</v>
      </c>
      <c r="C60" s="12" t="s">
        <v>225</v>
      </c>
      <c r="D60" s="29"/>
      <c r="E60" s="11">
        <v>15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</row>
    <row r="61" spans="1:13" ht="12">
      <c r="A61" s="11">
        <v>16</v>
      </c>
      <c r="C61" s="12" t="s">
        <v>224</v>
      </c>
      <c r="D61" s="29"/>
      <c r="E61" s="11">
        <v>16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</row>
    <row r="62" spans="1:256" ht="12">
      <c r="A62" s="29">
        <v>17</v>
      </c>
      <c r="B62" s="29"/>
      <c r="C62" s="33" t="s">
        <v>226</v>
      </c>
      <c r="D62" s="29" t="s">
        <v>246</v>
      </c>
      <c r="E62" s="29">
        <v>17</v>
      </c>
      <c r="F62" s="29"/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29"/>
      <c r="O62" s="206"/>
      <c r="P62" s="29"/>
      <c r="Q62" s="33"/>
      <c r="R62" s="29"/>
      <c r="S62" s="33"/>
      <c r="T62" s="29"/>
      <c r="U62" s="33"/>
      <c r="V62" s="29"/>
      <c r="W62" s="33"/>
      <c r="X62" s="29"/>
      <c r="Y62" s="33"/>
      <c r="Z62" s="29"/>
      <c r="AA62" s="33"/>
      <c r="AB62" s="29"/>
      <c r="AC62" s="33"/>
      <c r="AD62" s="29"/>
      <c r="AE62" s="33"/>
      <c r="AF62" s="29"/>
      <c r="AG62" s="33"/>
      <c r="AH62" s="29"/>
      <c r="AI62" s="33"/>
      <c r="AJ62" s="29"/>
      <c r="AK62" s="33"/>
      <c r="AL62" s="29"/>
      <c r="AM62" s="33"/>
      <c r="AN62" s="29"/>
      <c r="AO62" s="33"/>
      <c r="AP62" s="29"/>
      <c r="AQ62" s="33"/>
      <c r="AR62" s="29"/>
      <c r="AS62" s="33"/>
      <c r="AT62" s="29"/>
      <c r="AU62" s="33"/>
      <c r="AV62" s="29"/>
      <c r="AW62" s="33"/>
      <c r="AX62" s="29"/>
      <c r="AY62" s="33"/>
      <c r="AZ62" s="29"/>
      <c r="BA62" s="33"/>
      <c r="BB62" s="29"/>
      <c r="BC62" s="33"/>
      <c r="BD62" s="29"/>
      <c r="BE62" s="33"/>
      <c r="BF62" s="29"/>
      <c r="BG62" s="33"/>
      <c r="BH62" s="29"/>
      <c r="BI62" s="33"/>
      <c r="BJ62" s="29"/>
      <c r="BK62" s="33"/>
      <c r="BL62" s="29"/>
      <c r="BM62" s="33"/>
      <c r="BN62" s="29"/>
      <c r="BO62" s="33"/>
      <c r="BP62" s="29"/>
      <c r="BQ62" s="33"/>
      <c r="BR62" s="29"/>
      <c r="BS62" s="33"/>
      <c r="BT62" s="29"/>
      <c r="BU62" s="33"/>
      <c r="BV62" s="29"/>
      <c r="BW62" s="33"/>
      <c r="BX62" s="29"/>
      <c r="BY62" s="33"/>
      <c r="BZ62" s="29"/>
      <c r="CA62" s="33"/>
      <c r="CB62" s="29"/>
      <c r="CC62" s="33"/>
      <c r="CD62" s="29"/>
      <c r="CE62" s="33"/>
      <c r="CF62" s="29"/>
      <c r="CG62" s="33"/>
      <c r="CH62" s="29"/>
      <c r="CI62" s="33"/>
      <c r="CJ62" s="29"/>
      <c r="CK62" s="33"/>
      <c r="CL62" s="29"/>
      <c r="CM62" s="33"/>
      <c r="CN62" s="29"/>
      <c r="CO62" s="33"/>
      <c r="CP62" s="29"/>
      <c r="CQ62" s="33"/>
      <c r="CR62" s="29"/>
      <c r="CS62" s="33"/>
      <c r="CT62" s="29"/>
      <c r="CU62" s="33"/>
      <c r="CV62" s="29"/>
      <c r="CW62" s="33"/>
      <c r="CX62" s="29"/>
      <c r="CY62" s="33"/>
      <c r="CZ62" s="29"/>
      <c r="DA62" s="33"/>
      <c r="DB62" s="29"/>
      <c r="DC62" s="33"/>
      <c r="DD62" s="29"/>
      <c r="DE62" s="33"/>
      <c r="DF62" s="29"/>
      <c r="DG62" s="33"/>
      <c r="DH62" s="29"/>
      <c r="DI62" s="33"/>
      <c r="DJ62" s="29"/>
      <c r="DK62" s="33"/>
      <c r="DL62" s="29"/>
      <c r="DM62" s="33"/>
      <c r="DN62" s="29"/>
      <c r="DO62" s="33"/>
      <c r="DP62" s="29"/>
      <c r="DQ62" s="33"/>
      <c r="DR62" s="29"/>
      <c r="DS62" s="33"/>
      <c r="DT62" s="29"/>
      <c r="DU62" s="33"/>
      <c r="DV62" s="29"/>
      <c r="DW62" s="33"/>
      <c r="DX62" s="29"/>
      <c r="DY62" s="33"/>
      <c r="DZ62" s="29"/>
      <c r="EA62" s="33"/>
      <c r="EB62" s="29"/>
      <c r="EC62" s="33"/>
      <c r="ED62" s="29"/>
      <c r="EE62" s="33"/>
      <c r="EF62" s="29"/>
      <c r="EG62" s="33"/>
      <c r="EH62" s="29"/>
      <c r="EI62" s="33"/>
      <c r="EJ62" s="29"/>
      <c r="EK62" s="33"/>
      <c r="EL62" s="29"/>
      <c r="EM62" s="33"/>
      <c r="EN62" s="29"/>
      <c r="EO62" s="33"/>
      <c r="EP62" s="29"/>
      <c r="EQ62" s="33"/>
      <c r="ER62" s="29"/>
      <c r="ES62" s="33"/>
      <c r="ET62" s="29"/>
      <c r="EU62" s="33"/>
      <c r="EV62" s="29"/>
      <c r="EW62" s="33"/>
      <c r="EX62" s="29"/>
      <c r="EY62" s="33"/>
      <c r="EZ62" s="29"/>
      <c r="FA62" s="33"/>
      <c r="FB62" s="29"/>
      <c r="FC62" s="33"/>
      <c r="FD62" s="29"/>
      <c r="FE62" s="33"/>
      <c r="FF62" s="29"/>
      <c r="FG62" s="33"/>
      <c r="FH62" s="29"/>
      <c r="FI62" s="33"/>
      <c r="FJ62" s="29"/>
      <c r="FK62" s="33"/>
      <c r="FL62" s="29"/>
      <c r="FM62" s="33"/>
      <c r="FN62" s="29"/>
      <c r="FO62" s="33"/>
      <c r="FP62" s="29"/>
      <c r="FQ62" s="33"/>
      <c r="FR62" s="29"/>
      <c r="FS62" s="33"/>
      <c r="FT62" s="29"/>
      <c r="FU62" s="33"/>
      <c r="FV62" s="29"/>
      <c r="FW62" s="33"/>
      <c r="FX62" s="29"/>
      <c r="FY62" s="33"/>
      <c r="FZ62" s="29"/>
      <c r="GA62" s="33"/>
      <c r="GB62" s="29"/>
      <c r="GC62" s="33"/>
      <c r="GD62" s="29"/>
      <c r="GE62" s="33"/>
      <c r="GF62" s="29"/>
      <c r="GG62" s="33"/>
      <c r="GH62" s="29"/>
      <c r="GI62" s="33"/>
      <c r="GJ62" s="29"/>
      <c r="GK62" s="33"/>
      <c r="GL62" s="29"/>
      <c r="GM62" s="33"/>
      <c r="GN62" s="29"/>
      <c r="GO62" s="33"/>
      <c r="GP62" s="29"/>
      <c r="GQ62" s="33"/>
      <c r="GR62" s="29"/>
      <c r="GS62" s="33"/>
      <c r="GT62" s="29"/>
      <c r="GU62" s="33"/>
      <c r="GV62" s="29"/>
      <c r="GW62" s="33"/>
      <c r="GX62" s="29"/>
      <c r="GY62" s="33"/>
      <c r="GZ62" s="29"/>
      <c r="HA62" s="33"/>
      <c r="HB62" s="29"/>
      <c r="HC62" s="33"/>
      <c r="HD62" s="29"/>
      <c r="HE62" s="33"/>
      <c r="HF62" s="29"/>
      <c r="HG62" s="33"/>
      <c r="HH62" s="29"/>
      <c r="HI62" s="33"/>
      <c r="HJ62" s="29"/>
      <c r="HK62" s="33"/>
      <c r="HL62" s="29"/>
      <c r="HM62" s="33"/>
      <c r="HN62" s="29"/>
      <c r="HO62" s="33"/>
      <c r="HP62" s="29"/>
      <c r="HQ62" s="33"/>
      <c r="HR62" s="29"/>
      <c r="HS62" s="33"/>
      <c r="HT62" s="29"/>
      <c r="HU62" s="33"/>
      <c r="HV62" s="29"/>
      <c r="HW62" s="33"/>
      <c r="HX62" s="29"/>
      <c r="HY62" s="33"/>
      <c r="HZ62" s="29"/>
      <c r="IA62" s="33"/>
      <c r="IB62" s="29"/>
      <c r="IC62" s="33"/>
      <c r="ID62" s="29"/>
      <c r="IE62" s="33"/>
      <c r="IF62" s="29"/>
      <c r="IG62" s="33"/>
      <c r="IH62" s="29"/>
      <c r="II62" s="33"/>
      <c r="IJ62" s="29"/>
      <c r="IK62" s="33"/>
      <c r="IL62" s="29"/>
      <c r="IM62" s="33"/>
      <c r="IN62" s="29"/>
      <c r="IO62" s="33"/>
      <c r="IP62" s="29"/>
      <c r="IQ62" s="33"/>
      <c r="IR62" s="29"/>
      <c r="IS62" s="33"/>
      <c r="IT62" s="29"/>
      <c r="IU62" s="33"/>
      <c r="IV62" s="29"/>
    </row>
    <row r="63" spans="1:13" ht="12">
      <c r="A63" s="11">
        <v>18</v>
      </c>
      <c r="C63" s="12" t="s">
        <v>227</v>
      </c>
      <c r="D63" s="29" t="s">
        <v>246</v>
      </c>
      <c r="E63" s="11">
        <v>18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</row>
    <row r="64" spans="1:13" ht="12">
      <c r="A64" s="11">
        <v>19</v>
      </c>
      <c r="C64" s="12" t="s">
        <v>183</v>
      </c>
      <c r="D64" s="29" t="s">
        <v>246</v>
      </c>
      <c r="E64" s="11">
        <v>19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</row>
    <row r="65" spans="1:13" ht="12">
      <c r="A65" s="11">
        <v>20</v>
      </c>
      <c r="C65" s="12" t="s">
        <v>160</v>
      </c>
      <c r="D65" s="29" t="s">
        <v>246</v>
      </c>
      <c r="E65" s="11">
        <v>20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</row>
    <row r="66" spans="1:13" ht="12">
      <c r="A66" s="11">
        <v>21</v>
      </c>
      <c r="C66" s="12" t="s">
        <v>220</v>
      </c>
      <c r="D66" s="29" t="s">
        <v>245</v>
      </c>
      <c r="E66" s="11">
        <v>21</v>
      </c>
      <c r="G66" s="47">
        <v>0</v>
      </c>
      <c r="H66" s="48">
        <v>0</v>
      </c>
      <c r="I66" s="47">
        <v>0</v>
      </c>
      <c r="J66" s="48">
        <f>+J142</f>
        <v>0</v>
      </c>
      <c r="K66" s="30"/>
      <c r="L66" s="47">
        <v>0</v>
      </c>
      <c r="M66" s="48">
        <f>+M142</f>
        <v>0</v>
      </c>
    </row>
    <row r="67" spans="1:13" ht="12">
      <c r="A67" s="11">
        <v>22</v>
      </c>
      <c r="C67" s="34"/>
      <c r="E67" s="11">
        <v>22</v>
      </c>
      <c r="F67" s="21" t="s">
        <v>1</v>
      </c>
      <c r="G67" s="21"/>
      <c r="H67" s="21"/>
      <c r="I67" s="22"/>
      <c r="J67" s="23"/>
      <c r="K67" s="32"/>
      <c r="L67" s="22"/>
      <c r="M67" s="23"/>
    </row>
    <row r="68" spans="1:13" ht="12">
      <c r="A68" s="11">
        <v>23</v>
      </c>
      <c r="C68" s="7" t="s">
        <v>187</v>
      </c>
      <c r="D68" s="35"/>
      <c r="E68" s="11">
        <v>23</v>
      </c>
      <c r="F68" s="36"/>
      <c r="G68" s="47"/>
      <c r="H68" s="48">
        <f>SUM(H58,H59,H65,H66)</f>
        <v>0</v>
      </c>
      <c r="I68" s="47"/>
      <c r="J68" s="48">
        <f>SUM(J58,J59,J65,J66)</f>
        <v>0</v>
      </c>
      <c r="K68" s="37"/>
      <c r="L68" s="47"/>
      <c r="M68" s="48">
        <f>SUM(M58,M59,M65,M66)</f>
        <v>0</v>
      </c>
    </row>
    <row r="69" spans="1:8" ht="12">
      <c r="A69" s="11">
        <v>24</v>
      </c>
      <c r="C69" s="34"/>
      <c r="D69" s="12"/>
      <c r="E69" s="11">
        <v>24</v>
      </c>
      <c r="H69" s="48"/>
    </row>
    <row r="70" spans="1:13" ht="12">
      <c r="A70" s="11">
        <v>25</v>
      </c>
      <c r="C70" s="12" t="s">
        <v>199</v>
      </c>
      <c r="D70" s="29" t="s">
        <v>247</v>
      </c>
      <c r="E70" s="11">
        <v>25</v>
      </c>
      <c r="G70" s="47"/>
      <c r="H70" s="48">
        <f>+H180</f>
        <v>26839805</v>
      </c>
      <c r="I70" s="47"/>
      <c r="J70" s="48">
        <f>+J180</f>
        <v>13662651</v>
      </c>
      <c r="K70" s="30"/>
      <c r="L70" s="47"/>
      <c r="M70" s="48">
        <f>+M180</f>
        <v>-1902545</v>
      </c>
    </row>
    <row r="71" spans="1:13" ht="12">
      <c r="A71" s="7">
        <v>26</v>
      </c>
      <c r="E71" s="7">
        <v>26</v>
      </c>
      <c r="F71" s="21" t="s">
        <v>1</v>
      </c>
      <c r="G71" s="21"/>
      <c r="H71" s="21"/>
      <c r="I71" s="22"/>
      <c r="J71" s="23"/>
      <c r="K71" s="32"/>
      <c r="L71" s="22"/>
      <c r="M71" s="23"/>
    </row>
    <row r="72" spans="1:13" ht="12">
      <c r="A72" s="11">
        <v>27</v>
      </c>
      <c r="C72" s="12" t="s">
        <v>233</v>
      </c>
      <c r="E72" s="11">
        <v>27</v>
      </c>
      <c r="F72" s="5"/>
      <c r="G72" s="47"/>
      <c r="H72" s="48">
        <f>SUM(H68,H70)</f>
        <v>26839805</v>
      </c>
      <c r="I72" s="47"/>
      <c r="J72" s="48">
        <f>SUM(J68,J70)</f>
        <v>13662651</v>
      </c>
      <c r="K72" s="31"/>
      <c r="L72" s="47"/>
      <c r="M72" s="48">
        <f>SUM(M68,M70)</f>
        <v>-1902545</v>
      </c>
    </row>
    <row r="73" spans="1:13" ht="12">
      <c r="A73" s="11"/>
      <c r="C73" s="12"/>
      <c r="E73" s="11"/>
      <c r="F73" s="5"/>
      <c r="G73" s="31"/>
      <c r="H73" s="30"/>
      <c r="I73" s="31"/>
      <c r="J73" s="31"/>
      <c r="K73" s="31"/>
      <c r="L73" s="31"/>
      <c r="M73" s="31"/>
    </row>
    <row r="74" spans="3:13" ht="12">
      <c r="C74" s="7" t="s">
        <v>91</v>
      </c>
      <c r="D74" s="29"/>
      <c r="F74" s="21"/>
      <c r="G74" s="21"/>
      <c r="H74" s="142"/>
      <c r="I74" s="22"/>
      <c r="K74" s="32"/>
      <c r="L74" s="22"/>
      <c r="M74" s="23"/>
    </row>
    <row r="75" spans="1:13" ht="12">
      <c r="A75" s="7" t="s">
        <v>687</v>
      </c>
      <c r="D75" s="29"/>
      <c r="F75" s="21"/>
      <c r="G75" s="21"/>
      <c r="H75" s="21"/>
      <c r="I75" s="22"/>
      <c r="K75" s="32"/>
      <c r="L75" s="22"/>
      <c r="M75" s="23"/>
    </row>
    <row r="76" spans="4:13" ht="12">
      <c r="D76" s="29"/>
      <c r="F76" s="21"/>
      <c r="G76" s="21"/>
      <c r="H76" s="21"/>
      <c r="I76" s="22"/>
      <c r="K76" s="32"/>
      <c r="L76" s="22"/>
      <c r="M76" s="23"/>
    </row>
    <row r="77" ht="12">
      <c r="E77" s="50"/>
    </row>
    <row r="78" ht="12">
      <c r="A78" s="46" t="s">
        <v>685</v>
      </c>
    </row>
    <row r="79" spans="1:13" ht="12">
      <c r="A79" s="19" t="str">
        <f>$A$36</f>
        <v>Institution No.:  </v>
      </c>
      <c r="B79" s="46"/>
      <c r="C79" s="46"/>
      <c r="D79" s="46"/>
      <c r="E79" s="51"/>
      <c r="F79" s="46"/>
      <c r="G79" s="46"/>
      <c r="H79" s="46"/>
      <c r="I79" s="52"/>
      <c r="J79" s="53"/>
      <c r="K79" s="46"/>
      <c r="L79" s="52"/>
      <c r="M79" s="18" t="s">
        <v>254</v>
      </c>
    </row>
    <row r="80" spans="1:13" ht="12">
      <c r="A80" s="262" t="s">
        <v>261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</row>
    <row r="81" spans="1:13" ht="12">
      <c r="A81" s="19"/>
      <c r="J81" s="55"/>
      <c r="L81" s="17"/>
      <c r="M81" s="20" t="str">
        <f>$M$3</f>
        <v>Date: 10/1/2008</v>
      </c>
    </row>
    <row r="82" spans="1:13" ht="12">
      <c r="A82" s="21" t="s">
        <v>1</v>
      </c>
      <c r="B82" s="21" t="s">
        <v>1</v>
      </c>
      <c r="C82" s="21" t="s">
        <v>1</v>
      </c>
      <c r="D82" s="21" t="s">
        <v>1</v>
      </c>
      <c r="E82" s="21" t="s">
        <v>1</v>
      </c>
      <c r="F82" s="21" t="s">
        <v>1</v>
      </c>
      <c r="G82" s="21"/>
      <c r="H82" s="21"/>
      <c r="I82" s="22" t="s">
        <v>1</v>
      </c>
      <c r="J82" s="23" t="s">
        <v>1</v>
      </c>
      <c r="K82" s="21" t="s">
        <v>1</v>
      </c>
      <c r="L82" s="22" t="s">
        <v>1</v>
      </c>
      <c r="M82" s="23" t="s">
        <v>1</v>
      </c>
    </row>
    <row r="83" spans="1:13" ht="12">
      <c r="A83" s="24" t="s">
        <v>2</v>
      </c>
      <c r="E83" s="24" t="s">
        <v>2</v>
      </c>
      <c r="F83" s="25"/>
      <c r="G83" s="25"/>
      <c r="H83" s="25" t="s">
        <v>249</v>
      </c>
      <c r="I83" s="26"/>
      <c r="J83" s="27" t="s">
        <v>251</v>
      </c>
      <c r="K83" s="25"/>
      <c r="L83" s="26"/>
      <c r="M83" s="27" t="s">
        <v>260</v>
      </c>
    </row>
    <row r="84" spans="1:13" ht="12">
      <c r="A84" s="24" t="s">
        <v>4</v>
      </c>
      <c r="C84" s="28" t="s">
        <v>20</v>
      </c>
      <c r="E84" s="24" t="s">
        <v>4</v>
      </c>
      <c r="F84" s="25"/>
      <c r="G84" s="25"/>
      <c r="H84" s="25" t="s">
        <v>7</v>
      </c>
      <c r="I84" s="26"/>
      <c r="J84" s="27" t="s">
        <v>7</v>
      </c>
      <c r="K84" s="25"/>
      <c r="L84" s="26"/>
      <c r="M84" s="27" t="s">
        <v>8</v>
      </c>
    </row>
    <row r="85" spans="1:13" ht="12">
      <c r="A85" s="21" t="s">
        <v>1</v>
      </c>
      <c r="B85" s="21" t="s">
        <v>1</v>
      </c>
      <c r="C85" s="21" t="s">
        <v>1</v>
      </c>
      <c r="D85" s="21" t="s">
        <v>1</v>
      </c>
      <c r="E85" s="21" t="s">
        <v>1</v>
      </c>
      <c r="F85" s="21" t="s">
        <v>1</v>
      </c>
      <c r="G85" s="21"/>
      <c r="H85" s="21"/>
      <c r="I85" s="22" t="s">
        <v>1</v>
      </c>
      <c r="J85" s="23" t="s">
        <v>1</v>
      </c>
      <c r="K85" s="21" t="s">
        <v>1</v>
      </c>
      <c r="L85" s="22" t="s">
        <v>1</v>
      </c>
      <c r="M85" s="23" t="s">
        <v>1</v>
      </c>
    </row>
    <row r="86" spans="1:8" ht="12">
      <c r="A86" s="7">
        <v>1</v>
      </c>
      <c r="C86" s="7" t="s">
        <v>201</v>
      </c>
      <c r="E86" s="7">
        <v>1</v>
      </c>
      <c r="H86" s="196"/>
    </row>
    <row r="87" spans="1:8" ht="12">
      <c r="A87" s="7">
        <v>2</v>
      </c>
      <c r="C87" s="7" t="s">
        <v>191</v>
      </c>
      <c r="E87" s="7">
        <v>2</v>
      </c>
      <c r="H87" s="196"/>
    </row>
    <row r="88" spans="1:8" ht="12">
      <c r="A88" s="7">
        <v>3</v>
      </c>
      <c r="C88" s="7" t="s">
        <v>192</v>
      </c>
      <c r="E88" s="7">
        <v>3</v>
      </c>
      <c r="H88" s="196"/>
    </row>
    <row r="89" spans="1:8" ht="12">
      <c r="A89" s="7">
        <v>7</v>
      </c>
      <c r="C89" s="7" t="s">
        <v>193</v>
      </c>
      <c r="E89" s="7">
        <v>7</v>
      </c>
      <c r="H89" s="196"/>
    </row>
    <row r="90" spans="1:14" ht="12">
      <c r="A90" s="7">
        <v>8</v>
      </c>
      <c r="C90" s="7" t="s">
        <v>194</v>
      </c>
      <c r="E90" s="7">
        <v>8</v>
      </c>
      <c r="H90" s="196">
        <v>45343871</v>
      </c>
      <c r="J90" s="196">
        <f>60542190-577010</f>
        <v>59965180</v>
      </c>
      <c r="K90" s="196"/>
      <c r="L90" s="196"/>
      <c r="M90" s="196">
        <f>42565053+23509776</f>
        <v>66074829</v>
      </c>
      <c r="N90" s="196"/>
    </row>
    <row r="91" spans="1:14" ht="12">
      <c r="A91" s="7">
        <v>9</v>
      </c>
      <c r="C91" s="7" t="s">
        <v>195</v>
      </c>
      <c r="E91" s="7">
        <v>9</v>
      </c>
      <c r="H91" s="196"/>
      <c r="J91" s="196"/>
      <c r="K91" s="196"/>
      <c r="L91" s="196"/>
      <c r="M91" s="196"/>
      <c r="N91" s="196"/>
    </row>
    <row r="92" spans="1:14" ht="12">
      <c r="A92" s="7">
        <v>10</v>
      </c>
      <c r="C92" s="7" t="s">
        <v>196</v>
      </c>
      <c r="E92" s="7">
        <v>10</v>
      </c>
      <c r="H92" s="196">
        <v>60171682</v>
      </c>
      <c r="J92" s="196">
        <v>61368920</v>
      </c>
      <c r="K92" s="196"/>
      <c r="L92" s="196"/>
      <c r="M92" s="196">
        <v>65498980</v>
      </c>
      <c r="N92" s="196"/>
    </row>
    <row r="93" spans="1:8" ht="12">
      <c r="A93" s="7">
        <v>11</v>
      </c>
      <c r="C93" s="7" t="s">
        <v>197</v>
      </c>
      <c r="E93" s="7">
        <v>11</v>
      </c>
      <c r="H93" s="196"/>
    </row>
    <row r="94" spans="3:8" ht="12">
      <c r="C94" s="7" t="s">
        <v>198</v>
      </c>
      <c r="E94" s="50"/>
      <c r="H94" s="196"/>
    </row>
    <row r="95" spans="1:13" ht="12">
      <c r="A95" s="7">
        <v>12</v>
      </c>
      <c r="C95" s="7" t="s">
        <v>202</v>
      </c>
      <c r="E95" s="50">
        <v>12</v>
      </c>
      <c r="H95" s="196">
        <f>SUM(H86:H93)</f>
        <v>105515553</v>
      </c>
      <c r="J95" s="196">
        <f>SUM(J86:J93)</f>
        <v>121334100</v>
      </c>
      <c r="M95" s="196">
        <f>SUM(M86:M93)</f>
        <v>131573809</v>
      </c>
    </row>
    <row r="96" ht="12">
      <c r="E96" s="50"/>
    </row>
    <row r="97" ht="12">
      <c r="E97" s="50"/>
    </row>
    <row r="98" ht="12">
      <c r="E98" s="50"/>
    </row>
    <row r="99" ht="12">
      <c r="E99" s="50"/>
    </row>
    <row r="100" ht="12">
      <c r="E100" s="50"/>
    </row>
    <row r="101" ht="12">
      <c r="E101" s="50"/>
    </row>
    <row r="102" ht="12">
      <c r="E102" s="50"/>
    </row>
    <row r="103" ht="12">
      <c r="E103" s="50"/>
    </row>
    <row r="104" ht="12">
      <c r="E104" s="50"/>
    </row>
    <row r="105" ht="12">
      <c r="E105" s="50"/>
    </row>
    <row r="106" ht="12">
      <c r="E106" s="50"/>
    </row>
    <row r="107" ht="12">
      <c r="E107" s="50"/>
    </row>
    <row r="108" spans="3:5" ht="12">
      <c r="C108" s="7" t="s">
        <v>200</v>
      </c>
      <c r="E108" s="50"/>
    </row>
    <row r="109" ht="12">
      <c r="E109" s="50"/>
    </row>
    <row r="110" spans="2:6" ht="12.75">
      <c r="B110" s="56"/>
      <c r="C110" s="57"/>
      <c r="D110" s="58"/>
      <c r="E110" s="58"/>
      <c r="F110" s="58"/>
    </row>
    <row r="111" spans="2:6" ht="12.75">
      <c r="B111" s="56"/>
      <c r="C111" s="57"/>
      <c r="D111" s="58"/>
      <c r="E111" s="58"/>
      <c r="F111" s="58"/>
    </row>
    <row r="112" ht="12">
      <c r="E112" s="50"/>
    </row>
    <row r="113" ht="12">
      <c r="E113" s="50"/>
    </row>
    <row r="114" ht="12">
      <c r="E114" s="50"/>
    </row>
    <row r="115" ht="12">
      <c r="E115" s="50"/>
    </row>
    <row r="116" ht="12">
      <c r="E116" s="50"/>
    </row>
    <row r="117" ht="12">
      <c r="E117" s="50"/>
    </row>
    <row r="118" ht="12">
      <c r="E118" s="50"/>
    </row>
    <row r="119" ht="12">
      <c r="E119" s="50"/>
    </row>
    <row r="120" ht="12">
      <c r="E120" s="50"/>
    </row>
    <row r="121" ht="12">
      <c r="E121" s="50"/>
    </row>
    <row r="122" ht="12">
      <c r="E122" s="50"/>
    </row>
    <row r="123" ht="12">
      <c r="A123" s="12"/>
    </row>
    <row r="124" spans="1:13" s="46" customFormat="1" ht="12">
      <c r="A124" s="19" t="str">
        <f>$A$36</f>
        <v>Institution No.:  </v>
      </c>
      <c r="E124" s="51"/>
      <c r="I124" s="52"/>
      <c r="J124" s="53"/>
      <c r="L124" s="52"/>
      <c r="M124" s="91" t="s">
        <v>76</v>
      </c>
    </row>
    <row r="125" spans="4:13" s="46" customFormat="1" ht="12">
      <c r="D125" s="60" t="s">
        <v>279</v>
      </c>
      <c r="E125" s="51"/>
      <c r="I125" s="52"/>
      <c r="J125" s="53"/>
      <c r="L125" s="52"/>
      <c r="M125" s="53"/>
    </row>
    <row r="126" spans="1:13" ht="12">
      <c r="A126" s="19"/>
      <c r="F126" s="92"/>
      <c r="G126" s="92"/>
      <c r="H126" s="92"/>
      <c r="I126" s="85"/>
      <c r="J126" s="86"/>
      <c r="L126" s="17"/>
      <c r="M126" s="20" t="str">
        <f>$M$3</f>
        <v>Date: 10/1/2008</v>
      </c>
    </row>
    <row r="127" spans="1:13" ht="12">
      <c r="A127" s="21" t="s">
        <v>1</v>
      </c>
      <c r="B127" s="21" t="s">
        <v>1</v>
      </c>
      <c r="C127" s="21" t="s">
        <v>1</v>
      </c>
      <c r="D127" s="21" t="s">
        <v>1</v>
      </c>
      <c r="E127" s="21" t="s">
        <v>1</v>
      </c>
      <c r="F127" s="21" t="s">
        <v>1</v>
      </c>
      <c r="G127" s="21"/>
      <c r="H127" s="21"/>
      <c r="I127" s="22" t="s">
        <v>1</v>
      </c>
      <c r="J127" s="23" t="s">
        <v>1</v>
      </c>
      <c r="K127" s="21" t="s">
        <v>1</v>
      </c>
      <c r="L127" s="22" t="s">
        <v>1</v>
      </c>
      <c r="M127" s="23" t="s">
        <v>1</v>
      </c>
    </row>
    <row r="128" spans="1:13" ht="12">
      <c r="A128" s="24" t="s">
        <v>2</v>
      </c>
      <c r="E128" s="24" t="s">
        <v>2</v>
      </c>
      <c r="H128" s="25" t="s">
        <v>249</v>
      </c>
      <c r="I128" s="26"/>
      <c r="J128" s="27" t="s">
        <v>251</v>
      </c>
      <c r="K128" s="25"/>
      <c r="L128" s="26"/>
      <c r="M128" s="27" t="s">
        <v>260</v>
      </c>
    </row>
    <row r="129" spans="1:13" ht="12">
      <c r="A129" s="24" t="s">
        <v>4</v>
      </c>
      <c r="C129" s="28" t="s">
        <v>20</v>
      </c>
      <c r="E129" s="24" t="s">
        <v>4</v>
      </c>
      <c r="H129" s="27" t="s">
        <v>7</v>
      </c>
      <c r="I129" s="17"/>
      <c r="J129" s="27" t="s">
        <v>7</v>
      </c>
      <c r="L129" s="17"/>
      <c r="M129" s="27" t="s">
        <v>8</v>
      </c>
    </row>
    <row r="130" spans="1:13" ht="12">
      <c r="A130" s="21" t="s">
        <v>1</v>
      </c>
      <c r="B130" s="21" t="s">
        <v>1</v>
      </c>
      <c r="C130" s="21" t="s">
        <v>1</v>
      </c>
      <c r="D130" s="21" t="s">
        <v>1</v>
      </c>
      <c r="E130" s="21" t="s">
        <v>1</v>
      </c>
      <c r="F130" s="21" t="s">
        <v>1</v>
      </c>
      <c r="G130" s="21"/>
      <c r="H130" s="21"/>
      <c r="I130" s="22" t="s">
        <v>1</v>
      </c>
      <c r="J130" s="23" t="s">
        <v>1</v>
      </c>
      <c r="K130" s="21" t="s">
        <v>1</v>
      </c>
      <c r="L130" s="22" t="s">
        <v>1</v>
      </c>
      <c r="M130" s="23" t="s">
        <v>1</v>
      </c>
    </row>
    <row r="131" spans="1:13" ht="12">
      <c r="A131" s="93">
        <v>1</v>
      </c>
      <c r="C131" s="12" t="s">
        <v>280</v>
      </c>
      <c r="E131" s="93">
        <v>1</v>
      </c>
      <c r="I131" s="17"/>
      <c r="J131" s="55"/>
      <c r="L131" s="17"/>
      <c r="M131" s="55"/>
    </row>
    <row r="132" spans="1:13" ht="12">
      <c r="A132" s="93"/>
      <c r="C132" s="12"/>
      <c r="E132" s="93"/>
      <c r="I132" s="17"/>
      <c r="J132" s="55"/>
      <c r="L132" s="17"/>
      <c r="M132" s="55"/>
    </row>
    <row r="133" spans="6:13" ht="12">
      <c r="F133" s="90" t="s">
        <v>1</v>
      </c>
      <c r="G133" s="90"/>
      <c r="H133" s="90"/>
      <c r="I133" s="22" t="s">
        <v>1</v>
      </c>
      <c r="J133" s="23"/>
      <c r="K133" s="90"/>
      <c r="L133" s="22"/>
      <c r="M133" s="23"/>
    </row>
    <row r="134" spans="1:13" ht="12">
      <c r="A134" s="93"/>
      <c r="E134" s="93"/>
      <c r="F134" s="90" t="s">
        <v>1</v>
      </c>
      <c r="G134" s="90"/>
      <c r="H134" s="90"/>
      <c r="I134" s="22" t="s">
        <v>1</v>
      </c>
      <c r="J134" s="23"/>
      <c r="K134" s="90"/>
      <c r="L134" s="22"/>
      <c r="M134" s="23"/>
    </row>
    <row r="135" spans="1:13" ht="12">
      <c r="A135" s="93"/>
      <c r="C135" s="94"/>
      <c r="D135" s="95"/>
      <c r="E135" s="93"/>
      <c r="H135" s="65"/>
      <c r="I135" s="62"/>
      <c r="J135" s="62"/>
      <c r="K135" s="65"/>
      <c r="L135" s="62"/>
      <c r="M135" s="62"/>
    </row>
    <row r="136" spans="1:13" ht="12">
      <c r="A136" s="93"/>
      <c r="C136" s="94"/>
      <c r="D136" s="95"/>
      <c r="E136" s="93"/>
      <c r="H136" s="65"/>
      <c r="I136" s="62"/>
      <c r="J136" s="62"/>
      <c r="K136" s="65"/>
      <c r="L136" s="62"/>
      <c r="M136" s="62"/>
    </row>
    <row r="137" spans="1:13" ht="12">
      <c r="A137" s="93">
        <v>16</v>
      </c>
      <c r="C137" s="7" t="s">
        <v>270</v>
      </c>
      <c r="E137" s="93">
        <v>16</v>
      </c>
      <c r="H137" s="65"/>
      <c r="I137" s="62"/>
      <c r="J137" s="62"/>
      <c r="K137" s="65"/>
      <c r="L137" s="62"/>
      <c r="M137" s="62"/>
    </row>
    <row r="138" spans="1:13" ht="12">
      <c r="A138" s="93">
        <v>17</v>
      </c>
      <c r="C138" s="12" t="s">
        <v>0</v>
      </c>
      <c r="E138" s="93">
        <v>17</v>
      </c>
      <c r="F138" s="13"/>
      <c r="G138" s="13"/>
      <c r="H138" s="2"/>
      <c r="I138" s="2"/>
      <c r="J138" s="2"/>
      <c r="K138" s="2"/>
      <c r="L138" s="2"/>
      <c r="M138" s="2"/>
    </row>
    <row r="139" spans="1:13" ht="12">
      <c r="A139" s="93">
        <v>18</v>
      </c>
      <c r="E139" s="93">
        <v>18</v>
      </c>
      <c r="H139" s="65"/>
      <c r="I139" s="65"/>
      <c r="J139" s="65"/>
      <c r="K139" s="65"/>
      <c r="L139" s="65"/>
      <c r="M139" s="65"/>
    </row>
    <row r="140" spans="1:13" ht="12">
      <c r="A140" s="93">
        <v>19</v>
      </c>
      <c r="E140" s="93">
        <v>19</v>
      </c>
      <c r="H140" s="65"/>
      <c r="I140" s="65"/>
      <c r="J140" s="65"/>
      <c r="K140" s="65"/>
      <c r="L140" s="65"/>
      <c r="M140" s="65"/>
    </row>
    <row r="141" spans="1:13" ht="12">
      <c r="A141" s="93"/>
      <c r="C141" s="94"/>
      <c r="E141" s="93"/>
      <c r="F141" s="90" t="s">
        <v>1</v>
      </c>
      <c r="G141" s="90"/>
      <c r="H141" s="90"/>
      <c r="I141" s="22" t="s">
        <v>1</v>
      </c>
      <c r="J141" s="23" t="s">
        <v>1</v>
      </c>
      <c r="K141" s="90" t="s">
        <v>1</v>
      </c>
      <c r="L141" s="22" t="s">
        <v>1</v>
      </c>
      <c r="M141" s="23" t="s">
        <v>1</v>
      </c>
    </row>
    <row r="142" spans="1:13" ht="12">
      <c r="A142" s="93">
        <v>20</v>
      </c>
      <c r="C142" s="94" t="s">
        <v>83</v>
      </c>
      <c r="E142" s="93">
        <v>20</v>
      </c>
      <c r="H142" s="65">
        <f>H131+H137</f>
        <v>0</v>
      </c>
      <c r="I142" s="62"/>
      <c r="J142" s="65">
        <f>J131+J137</f>
        <v>0</v>
      </c>
      <c r="K142" s="65"/>
      <c r="L142" s="62"/>
      <c r="M142" s="65">
        <f>M131+M137</f>
        <v>0</v>
      </c>
    </row>
    <row r="143" spans="1:13" ht="12">
      <c r="A143" s="96"/>
      <c r="C143" s="12"/>
      <c r="E143" s="50"/>
      <c r="F143" s="90" t="s">
        <v>1</v>
      </c>
      <c r="G143" s="90"/>
      <c r="H143" s="90"/>
      <c r="I143" s="22" t="s">
        <v>1</v>
      </c>
      <c r="J143" s="23" t="s">
        <v>1</v>
      </c>
      <c r="K143" s="90" t="s">
        <v>1</v>
      </c>
      <c r="L143" s="22" t="s">
        <v>1</v>
      </c>
      <c r="M143" s="23" t="s">
        <v>1</v>
      </c>
    </row>
    <row r="144" spans="6:13" ht="12">
      <c r="F144" s="90"/>
      <c r="G144" s="90"/>
      <c r="H144" s="90"/>
      <c r="I144" s="22"/>
      <c r="J144" s="55"/>
      <c r="K144" s="90"/>
      <c r="L144" s="22"/>
      <c r="M144" s="55"/>
    </row>
    <row r="145" ht="12">
      <c r="A145" s="12"/>
    </row>
    <row r="146" spans="1:13" s="46" customFormat="1" ht="12">
      <c r="A146" s="19" t="str">
        <f>$A$36</f>
        <v>Institution No.:  </v>
      </c>
      <c r="E146" s="51"/>
      <c r="I146" s="52"/>
      <c r="J146" s="53"/>
      <c r="L146" s="52"/>
      <c r="M146" s="18" t="s">
        <v>78</v>
      </c>
    </row>
    <row r="147" spans="4:13" s="46" customFormat="1" ht="12">
      <c r="D147" s="60" t="s">
        <v>282</v>
      </c>
      <c r="E147" s="51"/>
      <c r="I147" s="52"/>
      <c r="J147" s="53"/>
      <c r="L147" s="52"/>
      <c r="M147" s="53"/>
    </row>
    <row r="148" spans="1:13" ht="12">
      <c r="A148" s="19"/>
      <c r="F148" s="92"/>
      <c r="G148" s="92"/>
      <c r="H148" s="92"/>
      <c r="I148" s="85"/>
      <c r="J148" s="55"/>
      <c r="L148" s="17"/>
      <c r="M148" s="20" t="str">
        <f>$M$3</f>
        <v>Date: 10/1/2008</v>
      </c>
    </row>
    <row r="149" spans="1:13" ht="12">
      <c r="A149" s="21" t="s">
        <v>1</v>
      </c>
      <c r="B149" s="21" t="s">
        <v>1</v>
      </c>
      <c r="C149" s="21" t="s">
        <v>1</v>
      </c>
      <c r="D149" s="21" t="s">
        <v>1</v>
      </c>
      <c r="E149" s="21" t="s">
        <v>1</v>
      </c>
      <c r="F149" s="21" t="s">
        <v>1</v>
      </c>
      <c r="G149" s="21"/>
      <c r="H149" s="21"/>
      <c r="I149" s="22" t="s">
        <v>1</v>
      </c>
      <c r="J149" s="23" t="s">
        <v>1</v>
      </c>
      <c r="K149" s="21" t="s">
        <v>1</v>
      </c>
      <c r="L149" s="22" t="s">
        <v>1</v>
      </c>
      <c r="M149" s="23" t="s">
        <v>1</v>
      </c>
    </row>
    <row r="150" spans="1:13" ht="12">
      <c r="A150" s="24" t="s">
        <v>2</v>
      </c>
      <c r="E150" s="24" t="s">
        <v>2</v>
      </c>
      <c r="H150" s="25" t="s">
        <v>249</v>
      </c>
      <c r="I150" s="26"/>
      <c r="J150" s="27" t="s">
        <v>251</v>
      </c>
      <c r="K150" s="25"/>
      <c r="L150" s="26"/>
      <c r="M150" s="27" t="s">
        <v>260</v>
      </c>
    </row>
    <row r="151" spans="1:13" ht="12">
      <c r="A151" s="24" t="s">
        <v>4</v>
      </c>
      <c r="C151" s="28" t="s">
        <v>20</v>
      </c>
      <c r="E151" s="24" t="s">
        <v>4</v>
      </c>
      <c r="H151" s="27" t="s">
        <v>7</v>
      </c>
      <c r="I151" s="17"/>
      <c r="J151" s="27" t="s">
        <v>7</v>
      </c>
      <c r="L151" s="17"/>
      <c r="M151" s="27" t="s">
        <v>8</v>
      </c>
    </row>
    <row r="152" spans="1:13" ht="12">
      <c r="A152" s="21" t="s">
        <v>1</v>
      </c>
      <c r="B152" s="21" t="s">
        <v>1</v>
      </c>
      <c r="C152" s="21" t="s">
        <v>1</v>
      </c>
      <c r="D152" s="21" t="s">
        <v>1</v>
      </c>
      <c r="E152" s="21" t="s">
        <v>1</v>
      </c>
      <c r="F152" s="21" t="s">
        <v>1</v>
      </c>
      <c r="G152" s="21"/>
      <c r="H152" s="21"/>
      <c r="I152" s="22" t="s">
        <v>1</v>
      </c>
      <c r="J152" s="23" t="s">
        <v>1</v>
      </c>
      <c r="K152" s="21" t="s">
        <v>1</v>
      </c>
      <c r="L152" s="22" t="s">
        <v>1</v>
      </c>
      <c r="M152" s="23" t="s">
        <v>1</v>
      </c>
    </row>
    <row r="153" spans="1:13" ht="12">
      <c r="A153" s="93">
        <v>1</v>
      </c>
      <c r="C153" s="12" t="s">
        <v>84</v>
      </c>
      <c r="E153" s="93">
        <v>1</v>
      </c>
      <c r="H153" s="65"/>
      <c r="I153" s="62"/>
      <c r="J153" s="62"/>
      <c r="K153" s="65"/>
      <c r="L153" s="62"/>
      <c r="M153" s="62"/>
    </row>
    <row r="154" spans="1:13" ht="12">
      <c r="A154" s="93"/>
      <c r="C154" s="12"/>
      <c r="E154" s="93"/>
      <c r="H154" s="65"/>
      <c r="I154" s="62"/>
      <c r="J154" s="62"/>
      <c r="K154" s="65"/>
      <c r="L154" s="62"/>
      <c r="M154" s="62"/>
    </row>
    <row r="155" spans="1:16" ht="12">
      <c r="A155" s="93">
        <f>(A153+1)</f>
        <v>2</v>
      </c>
      <c r="C155" s="13" t="s">
        <v>79</v>
      </c>
      <c r="E155" s="93">
        <f>(E153+1)</f>
        <v>2</v>
      </c>
      <c r="F155" s="13"/>
      <c r="G155" s="13"/>
      <c r="H155" s="2">
        <v>-566</v>
      </c>
      <c r="I155" s="2"/>
      <c r="J155" s="2"/>
      <c r="K155" s="2"/>
      <c r="L155" s="2"/>
      <c r="M155" s="2">
        <v>0</v>
      </c>
      <c r="P155" s="181"/>
    </row>
    <row r="156" spans="1:14" ht="12">
      <c r="A156" s="93">
        <f aca="true" t="shared" si="0" ref="A156:A161">(A155+1)</f>
        <v>3</v>
      </c>
      <c r="C156" s="13" t="s">
        <v>80</v>
      </c>
      <c r="E156" s="93">
        <f aca="true" t="shared" si="1" ref="E156:E161">(E155+1)</f>
        <v>3</v>
      </c>
      <c r="F156" s="13"/>
      <c r="G156" s="13"/>
      <c r="H156" s="2">
        <v>-8573996</v>
      </c>
      <c r="I156" s="2"/>
      <c r="J156" s="2">
        <f>61701+2877924</f>
        <v>2939625</v>
      </c>
      <c r="K156" s="2"/>
      <c r="L156" s="2"/>
      <c r="M156" s="2">
        <v>0</v>
      </c>
      <c r="N156" s="181"/>
    </row>
    <row r="157" spans="1:13" ht="12">
      <c r="A157" s="93">
        <f t="shared" si="0"/>
        <v>4</v>
      </c>
      <c r="C157" s="13" t="s">
        <v>231</v>
      </c>
      <c r="E157" s="93">
        <f t="shared" si="1"/>
        <v>4</v>
      </c>
      <c r="F157" s="13"/>
      <c r="G157" s="13"/>
      <c r="H157" s="2"/>
      <c r="I157" s="2"/>
      <c r="J157" s="2"/>
      <c r="K157" s="2"/>
      <c r="L157" s="2"/>
      <c r="M157" s="2"/>
    </row>
    <row r="158" spans="1:13" ht="12">
      <c r="A158" s="93">
        <f t="shared" si="0"/>
        <v>5</v>
      </c>
      <c r="C158" s="13" t="s">
        <v>271</v>
      </c>
      <c r="E158" s="93">
        <f t="shared" si="1"/>
        <v>5</v>
      </c>
      <c r="F158" s="13"/>
      <c r="G158" s="13"/>
      <c r="H158" s="2"/>
      <c r="I158" s="2"/>
      <c r="J158" s="2"/>
      <c r="K158" s="2"/>
      <c r="L158" s="2"/>
      <c r="M158" s="2"/>
    </row>
    <row r="159" spans="1:13" ht="12">
      <c r="A159" s="93">
        <f t="shared" si="0"/>
        <v>6</v>
      </c>
      <c r="C159" s="13" t="s">
        <v>272</v>
      </c>
      <c r="E159" s="93">
        <f t="shared" si="1"/>
        <v>6</v>
      </c>
      <c r="F159" s="13"/>
      <c r="G159" s="13"/>
      <c r="H159" s="2"/>
      <c r="I159" s="2"/>
      <c r="J159" s="2"/>
      <c r="K159" s="2"/>
      <c r="L159" s="2"/>
      <c r="M159" s="2"/>
    </row>
    <row r="160" spans="1:13" ht="12">
      <c r="A160" s="93">
        <f t="shared" si="0"/>
        <v>7</v>
      </c>
      <c r="C160" s="13" t="s">
        <v>273</v>
      </c>
      <c r="E160" s="93">
        <f t="shared" si="1"/>
        <v>7</v>
      </c>
      <c r="F160" s="13"/>
      <c r="G160" s="13"/>
      <c r="H160" s="2"/>
      <c r="I160" s="2"/>
      <c r="J160" s="2" t="s">
        <v>0</v>
      </c>
      <c r="K160" s="2"/>
      <c r="L160" s="2"/>
      <c r="M160" s="2"/>
    </row>
    <row r="161" spans="1:13" ht="12">
      <c r="A161" s="93">
        <f t="shared" si="0"/>
        <v>8</v>
      </c>
      <c r="C161" s="13" t="s">
        <v>274</v>
      </c>
      <c r="E161" s="93">
        <f t="shared" si="1"/>
        <v>8</v>
      </c>
      <c r="F161" s="13"/>
      <c r="G161" s="13"/>
      <c r="H161" s="2"/>
      <c r="I161" s="2"/>
      <c r="J161" s="2"/>
      <c r="K161" s="2"/>
      <c r="L161" s="2"/>
      <c r="M161" s="2"/>
    </row>
    <row r="162" spans="1:13" ht="12">
      <c r="A162" s="93">
        <v>9</v>
      </c>
      <c r="C162" s="13" t="s">
        <v>230</v>
      </c>
      <c r="E162" s="93"/>
      <c r="F162" s="90" t="s">
        <v>1</v>
      </c>
      <c r="G162" s="90"/>
      <c r="H162" s="90"/>
      <c r="I162" s="22" t="s">
        <v>1</v>
      </c>
      <c r="J162" s="23"/>
      <c r="K162" s="90"/>
      <c r="L162" s="22"/>
      <c r="M162" s="23"/>
    </row>
    <row r="163" spans="1:13" ht="12">
      <c r="A163" s="93"/>
      <c r="C163" s="13"/>
      <c r="E163" s="93"/>
      <c r="F163" s="90"/>
      <c r="G163" s="90"/>
      <c r="H163" s="90"/>
      <c r="I163" s="22"/>
      <c r="J163" s="23"/>
      <c r="K163" s="90"/>
      <c r="L163" s="22"/>
      <c r="M163" s="23"/>
    </row>
    <row r="164" spans="1:13" ht="12">
      <c r="A164" s="93">
        <v>10</v>
      </c>
      <c r="C164" s="7" t="s">
        <v>77</v>
      </c>
      <c r="E164" s="93">
        <v>9</v>
      </c>
      <c r="F164" s="13"/>
      <c r="G164" s="13"/>
      <c r="H164" s="2">
        <f>SUM(H155:H162)</f>
        <v>-8574562</v>
      </c>
      <c r="I164" s="2"/>
      <c r="J164" s="2">
        <f>SUM(J155:J162)</f>
        <v>2939625</v>
      </c>
      <c r="K164" s="2"/>
      <c r="L164" s="2"/>
      <c r="M164" s="2">
        <f>SUM(M155:M162)</f>
        <v>0</v>
      </c>
    </row>
    <row r="165" spans="1:13" ht="12">
      <c r="A165" s="93"/>
      <c r="C165" s="13"/>
      <c r="E165" s="93"/>
      <c r="F165" s="13"/>
      <c r="G165" s="13"/>
      <c r="H165" s="2"/>
      <c r="I165" s="2"/>
      <c r="J165" s="2"/>
      <c r="K165" s="2"/>
      <c r="L165" s="2"/>
      <c r="M165" s="2"/>
    </row>
    <row r="166" spans="1:13" ht="12">
      <c r="A166" s="93">
        <v>11</v>
      </c>
      <c r="C166" s="13" t="s">
        <v>215</v>
      </c>
      <c r="E166" s="93">
        <v>10</v>
      </c>
      <c r="F166" s="13"/>
      <c r="G166" s="13"/>
      <c r="H166" s="2">
        <v>0</v>
      </c>
      <c r="I166" s="2"/>
      <c r="J166" s="2"/>
      <c r="K166" s="2"/>
      <c r="L166" s="2"/>
      <c r="M166" s="2"/>
    </row>
    <row r="167" spans="1:13" ht="12">
      <c r="A167" s="93">
        <v>12</v>
      </c>
      <c r="C167" s="13" t="s">
        <v>81</v>
      </c>
      <c r="E167" s="93">
        <v>11</v>
      </c>
      <c r="F167" s="13"/>
      <c r="G167" s="13"/>
      <c r="H167" s="2">
        <v>27244037</v>
      </c>
      <c r="I167" s="2"/>
      <c r="J167" s="2">
        <v>-3454031</v>
      </c>
      <c r="K167" s="2"/>
      <c r="L167" s="2"/>
      <c r="M167" s="2"/>
    </row>
    <row r="168" spans="1:13" ht="12">
      <c r="A168" s="93">
        <v>13</v>
      </c>
      <c r="C168" s="13" t="s">
        <v>275</v>
      </c>
      <c r="E168" s="93">
        <v>12</v>
      </c>
      <c r="F168" s="13"/>
      <c r="G168" s="13"/>
      <c r="H168" s="2">
        <f>90160+45</f>
        <v>90205</v>
      </c>
      <c r="I168" s="2"/>
      <c r="J168" s="2">
        <v>-83543</v>
      </c>
      <c r="K168" s="2"/>
      <c r="L168" s="2"/>
      <c r="M168" s="2">
        <v>90000</v>
      </c>
    </row>
    <row r="169" spans="1:13" ht="12">
      <c r="A169" s="93"/>
      <c r="C169" s="13"/>
      <c r="E169" s="93">
        <v>13</v>
      </c>
      <c r="F169" s="13"/>
      <c r="G169" s="13"/>
      <c r="H169" s="2"/>
      <c r="I169" s="2"/>
      <c r="J169" s="2"/>
      <c r="K169" s="2"/>
      <c r="L169" s="2"/>
      <c r="M169" s="2"/>
    </row>
    <row r="170" spans="3:13" ht="12">
      <c r="C170" s="13"/>
      <c r="F170" s="90" t="s">
        <v>1</v>
      </c>
      <c r="G170" s="90"/>
      <c r="H170" s="90"/>
      <c r="I170" s="22" t="s">
        <v>1</v>
      </c>
      <c r="J170" s="23"/>
      <c r="K170" s="90"/>
      <c r="L170" s="22"/>
      <c r="M170" s="23"/>
    </row>
    <row r="171" spans="1:13" ht="12">
      <c r="A171" s="93">
        <v>14</v>
      </c>
      <c r="C171" s="7" t="s">
        <v>105</v>
      </c>
      <c r="E171" s="93">
        <v>14</v>
      </c>
      <c r="H171" s="65">
        <f>SUM(H166:H170)</f>
        <v>27334242</v>
      </c>
      <c r="I171" s="62"/>
      <c r="J171" s="65">
        <f>SUM(J166:J170)</f>
        <v>-3537574</v>
      </c>
      <c r="K171" s="65"/>
      <c r="L171" s="62"/>
      <c r="M171" s="65">
        <f>SUM(M166:M170)</f>
        <v>90000</v>
      </c>
    </row>
    <row r="172" spans="1:13" ht="12">
      <c r="A172" s="93"/>
      <c r="C172" s="13"/>
      <c r="E172" s="93"/>
      <c r="F172" s="90" t="s">
        <v>1</v>
      </c>
      <c r="G172" s="90"/>
      <c r="H172" s="90"/>
      <c r="I172" s="22" t="s">
        <v>1</v>
      </c>
      <c r="J172" s="23"/>
      <c r="K172" s="90"/>
      <c r="L172" s="22"/>
      <c r="M172" s="23"/>
    </row>
    <row r="173" spans="1:13" ht="12">
      <c r="A173" s="93">
        <v>15</v>
      </c>
      <c r="C173" s="12" t="s">
        <v>85</v>
      </c>
      <c r="E173" s="93">
        <v>15</v>
      </c>
      <c r="H173" s="65">
        <f>SUM(H164,H171)</f>
        <v>18759680</v>
      </c>
      <c r="I173" s="62"/>
      <c r="J173" s="65">
        <f>SUM(J164,J171)</f>
        <v>-597949</v>
      </c>
      <c r="K173" s="65"/>
      <c r="L173" s="62"/>
      <c r="M173" s="65">
        <f>SUM(M164,M171)</f>
        <v>90000</v>
      </c>
    </row>
    <row r="174" spans="1:13" ht="12">
      <c r="A174" s="93"/>
      <c r="C174" s="12"/>
      <c r="E174" s="93"/>
      <c r="H174" s="65"/>
      <c r="I174" s="62"/>
      <c r="J174" s="65"/>
      <c r="K174" s="65"/>
      <c r="L174" s="62"/>
      <c r="M174" s="65"/>
    </row>
    <row r="175" spans="1:13" ht="12">
      <c r="A175" s="93">
        <v>16</v>
      </c>
      <c r="C175" s="12" t="s">
        <v>189</v>
      </c>
      <c r="E175" s="93">
        <v>16</v>
      </c>
      <c r="H175" s="65"/>
      <c r="I175" s="62"/>
      <c r="J175" s="62"/>
      <c r="K175" s="65"/>
      <c r="L175" s="62"/>
      <c r="M175" s="62">
        <f>-J137</f>
        <v>0</v>
      </c>
    </row>
    <row r="176" spans="1:13" ht="12">
      <c r="A176" s="93">
        <v>17</v>
      </c>
      <c r="C176" s="7" t="s">
        <v>190</v>
      </c>
      <c r="E176" s="93">
        <v>17</v>
      </c>
      <c r="H176" s="65">
        <v>8080125</v>
      </c>
      <c r="I176" s="62"/>
      <c r="J176" s="62">
        <v>14260600</v>
      </c>
      <c r="K176" s="65"/>
      <c r="L176" s="62"/>
      <c r="M176" s="62">
        <v>-1992545</v>
      </c>
    </row>
    <row r="177" spans="1:13" ht="12">
      <c r="A177" s="93">
        <v>18</v>
      </c>
      <c r="E177" s="93">
        <v>18</v>
      </c>
      <c r="H177" s="65"/>
      <c r="I177" s="65"/>
      <c r="J177" s="65"/>
      <c r="K177" s="65"/>
      <c r="L177" s="65"/>
      <c r="M177" s="65"/>
    </row>
    <row r="178" spans="1:13" ht="12">
      <c r="A178" s="93">
        <v>19</v>
      </c>
      <c r="E178" s="93">
        <v>19</v>
      </c>
      <c r="H178" s="65"/>
      <c r="I178" s="65"/>
      <c r="J178" s="65"/>
      <c r="K178" s="65"/>
      <c r="L178" s="65"/>
      <c r="M178" s="65"/>
    </row>
    <row r="179" spans="1:13" ht="12">
      <c r="A179" s="93"/>
      <c r="C179" s="94"/>
      <c r="E179" s="93"/>
      <c r="F179" s="90" t="s">
        <v>1</v>
      </c>
      <c r="G179" s="90"/>
      <c r="H179" s="90"/>
      <c r="I179" s="22" t="s">
        <v>1</v>
      </c>
      <c r="J179" s="23"/>
      <c r="K179" s="90"/>
      <c r="L179" s="22"/>
      <c r="M179" s="23"/>
    </row>
    <row r="180" spans="1:13" ht="12">
      <c r="A180" s="93">
        <v>20</v>
      </c>
      <c r="C180" s="94" t="s">
        <v>86</v>
      </c>
      <c r="E180" s="93">
        <v>20</v>
      </c>
      <c r="H180" s="65">
        <f>SUM(H173:H178)</f>
        <v>26839805</v>
      </c>
      <c r="I180" s="62"/>
      <c r="J180" s="65">
        <f>SUM(J173:J178)</f>
        <v>13662651</v>
      </c>
      <c r="K180" s="65"/>
      <c r="L180" s="62"/>
      <c r="M180" s="65">
        <f>SUM(M173:M178)</f>
        <v>-1902545</v>
      </c>
    </row>
    <row r="181" spans="1:13" ht="12">
      <c r="A181" s="96"/>
      <c r="C181" s="12"/>
      <c r="E181" s="50"/>
      <c r="F181" s="90" t="s">
        <v>1</v>
      </c>
      <c r="G181" s="90"/>
      <c r="H181" s="90"/>
      <c r="I181" s="22" t="s">
        <v>1</v>
      </c>
      <c r="J181" s="23" t="s">
        <v>1</v>
      </c>
      <c r="K181" s="90" t="s">
        <v>1</v>
      </c>
      <c r="L181" s="22" t="s">
        <v>1</v>
      </c>
      <c r="M181" s="23" t="s">
        <v>1</v>
      </c>
    </row>
    <row r="182" ht="12">
      <c r="A182" s="12"/>
    </row>
    <row r="183" spans="1:13" s="46" customFormat="1" ht="12">
      <c r="A183" s="19" t="str">
        <f>$A$36</f>
        <v>Institution No.:  </v>
      </c>
      <c r="E183" s="51"/>
      <c r="I183" s="52"/>
      <c r="J183" s="53"/>
      <c r="L183" s="52"/>
      <c r="M183" s="18" t="s">
        <v>43</v>
      </c>
    </row>
    <row r="184" spans="1:13" s="46" customFormat="1" ht="12">
      <c r="A184" s="274" t="s">
        <v>153</v>
      </c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</row>
    <row r="185" spans="1:13" ht="12">
      <c r="A185" s="19"/>
      <c r="F185" s="92"/>
      <c r="G185" s="92"/>
      <c r="H185" s="92"/>
      <c r="I185" s="85"/>
      <c r="J185" s="55"/>
      <c r="L185" s="17"/>
      <c r="M185" s="20" t="str">
        <f>$M$3</f>
        <v>Date: 10/1/2008</v>
      </c>
    </row>
    <row r="186" spans="1:13" ht="12">
      <c r="A186" s="21" t="s">
        <v>1</v>
      </c>
      <c r="B186" s="21" t="s">
        <v>1</v>
      </c>
      <c r="C186" s="21" t="s">
        <v>1</v>
      </c>
      <c r="D186" s="21" t="s">
        <v>1</v>
      </c>
      <c r="E186" s="21" t="s">
        <v>1</v>
      </c>
      <c r="F186" s="21" t="s">
        <v>1</v>
      </c>
      <c r="G186" s="21"/>
      <c r="H186" s="21"/>
      <c r="I186" s="22" t="s">
        <v>1</v>
      </c>
      <c r="J186" s="23" t="s">
        <v>1</v>
      </c>
      <c r="K186" s="21" t="s">
        <v>1</v>
      </c>
      <c r="L186" s="22" t="s">
        <v>1</v>
      </c>
      <c r="M186" s="23" t="s">
        <v>1</v>
      </c>
    </row>
    <row r="187" spans="1:13" ht="12">
      <c r="A187" s="24" t="s">
        <v>2</v>
      </c>
      <c r="E187" s="24" t="s">
        <v>2</v>
      </c>
      <c r="F187" s="25"/>
      <c r="G187" s="26"/>
      <c r="H187" s="25" t="s">
        <v>249</v>
      </c>
      <c r="I187" s="26"/>
      <c r="J187" s="27" t="s">
        <v>251</v>
      </c>
      <c r="K187" s="25"/>
      <c r="L187" s="26"/>
      <c r="M187" s="27" t="s">
        <v>260</v>
      </c>
    </row>
    <row r="188" spans="1:13" ht="12">
      <c r="A188" s="24" t="s">
        <v>4</v>
      </c>
      <c r="C188" s="28" t="s">
        <v>20</v>
      </c>
      <c r="E188" s="24" t="s">
        <v>4</v>
      </c>
      <c r="F188" s="25"/>
      <c r="G188" s="26" t="s">
        <v>6</v>
      </c>
      <c r="H188" s="27" t="s">
        <v>7</v>
      </c>
      <c r="I188" s="26" t="s">
        <v>6</v>
      </c>
      <c r="J188" s="27" t="s">
        <v>7</v>
      </c>
      <c r="K188" s="25"/>
      <c r="L188" s="26" t="s">
        <v>6</v>
      </c>
      <c r="M188" s="27" t="s">
        <v>8</v>
      </c>
    </row>
    <row r="189" spans="1:13" ht="12">
      <c r="A189" s="21" t="s">
        <v>1</v>
      </c>
      <c r="B189" s="21" t="s">
        <v>1</v>
      </c>
      <c r="C189" s="21" t="s">
        <v>1</v>
      </c>
      <c r="D189" s="21" t="s">
        <v>1</v>
      </c>
      <c r="E189" s="21" t="s">
        <v>1</v>
      </c>
      <c r="F189" s="21" t="s">
        <v>1</v>
      </c>
      <c r="G189" s="21"/>
      <c r="H189" s="21"/>
      <c r="I189" s="22" t="s">
        <v>1</v>
      </c>
      <c r="J189" s="23" t="s">
        <v>1</v>
      </c>
      <c r="K189" s="21" t="s">
        <v>1</v>
      </c>
      <c r="L189" s="22" t="s">
        <v>1</v>
      </c>
      <c r="M189" s="23" t="s">
        <v>1</v>
      </c>
    </row>
    <row r="190" spans="1:13" ht="12">
      <c r="A190" s="11">
        <v>1</v>
      </c>
      <c r="C190" s="12" t="s">
        <v>36</v>
      </c>
      <c r="E190" s="11">
        <v>1</v>
      </c>
      <c r="F190" s="13"/>
      <c r="G190" s="104"/>
      <c r="H190" s="1"/>
      <c r="I190" s="104">
        <v>0</v>
      </c>
      <c r="J190" s="1"/>
      <c r="K190" s="110"/>
      <c r="L190" s="104">
        <v>0</v>
      </c>
      <c r="M190" s="1"/>
    </row>
    <row r="191" spans="1:13" ht="12">
      <c r="A191" s="11">
        <v>2</v>
      </c>
      <c r="C191" s="12" t="s">
        <v>37</v>
      </c>
      <c r="E191" s="11">
        <v>2</v>
      </c>
      <c r="F191" s="13"/>
      <c r="G191" s="104"/>
      <c r="H191" s="1"/>
      <c r="I191" s="104"/>
      <c r="J191" s="1"/>
      <c r="K191" s="110"/>
      <c r="L191" s="104"/>
      <c r="M191" s="1"/>
    </row>
    <row r="192" spans="1:13" ht="12">
      <c r="A192" s="11">
        <v>3</v>
      </c>
      <c r="E192" s="11">
        <v>3</v>
      </c>
      <c r="F192" s="13"/>
      <c r="G192" s="104"/>
      <c r="H192" s="1"/>
      <c r="I192" s="104"/>
      <c r="J192" s="1"/>
      <c r="K192" s="110"/>
      <c r="L192" s="104"/>
      <c r="M192" s="1"/>
    </row>
    <row r="193" spans="1:13" ht="12">
      <c r="A193" s="11">
        <v>4</v>
      </c>
      <c r="C193" s="12" t="s">
        <v>23</v>
      </c>
      <c r="E193" s="11">
        <v>4</v>
      </c>
      <c r="F193" s="13"/>
      <c r="G193" s="104">
        <f>SUM(G190:G192)</f>
        <v>0</v>
      </c>
      <c r="H193" s="1">
        <f>SUM(H190:H192)</f>
        <v>0</v>
      </c>
      <c r="I193" s="104">
        <f>SUM(I190:I192)</f>
        <v>0</v>
      </c>
      <c r="J193" s="1">
        <f>SUM(J190:J192)</f>
        <v>0</v>
      </c>
      <c r="K193" s="30"/>
      <c r="L193" s="104">
        <f>SUM(L190:L192)</f>
        <v>0</v>
      </c>
      <c r="M193" s="1">
        <f>SUM(M190:M192)</f>
        <v>0</v>
      </c>
    </row>
    <row r="194" spans="1:13" ht="12">
      <c r="A194" s="11">
        <v>5</v>
      </c>
      <c r="E194" s="11">
        <v>5</v>
      </c>
      <c r="F194" s="13"/>
      <c r="G194" s="104"/>
      <c r="H194" s="1"/>
      <c r="I194" s="104"/>
      <c r="J194" s="1"/>
      <c r="K194" s="30"/>
      <c r="L194" s="104"/>
      <c r="M194" s="1"/>
    </row>
    <row r="195" spans="1:13" ht="12">
      <c r="A195" s="11">
        <v>6</v>
      </c>
      <c r="E195" s="11">
        <v>6</v>
      </c>
      <c r="F195" s="13"/>
      <c r="G195" s="104"/>
      <c r="H195" s="1"/>
      <c r="I195" s="104"/>
      <c r="J195" s="1"/>
      <c r="K195" s="30"/>
      <c r="L195" s="104"/>
      <c r="M195" s="1"/>
    </row>
    <row r="196" spans="1:13" ht="12">
      <c r="A196" s="11">
        <v>7</v>
      </c>
      <c r="C196" s="12" t="s">
        <v>25</v>
      </c>
      <c r="E196" s="11">
        <v>7</v>
      </c>
      <c r="F196" s="13"/>
      <c r="G196" s="104"/>
      <c r="H196" s="1"/>
      <c r="I196" s="104">
        <v>0</v>
      </c>
      <c r="J196" s="1"/>
      <c r="K196" s="110"/>
      <c r="L196" s="104">
        <v>0</v>
      </c>
      <c r="M196" s="1"/>
    </row>
    <row r="197" spans="1:13" ht="12">
      <c r="A197" s="11">
        <v>8</v>
      </c>
      <c r="C197" s="12" t="s">
        <v>26</v>
      </c>
      <c r="E197" s="11">
        <v>8</v>
      </c>
      <c r="F197" s="13"/>
      <c r="G197" s="104"/>
      <c r="H197" s="1"/>
      <c r="I197" s="104"/>
      <c r="J197" s="1"/>
      <c r="K197" s="110"/>
      <c r="L197" s="104"/>
      <c r="M197" s="1"/>
    </row>
    <row r="198" spans="1:13" ht="12">
      <c r="A198" s="11">
        <v>9</v>
      </c>
      <c r="C198" s="12" t="s">
        <v>27</v>
      </c>
      <c r="E198" s="11">
        <v>9</v>
      </c>
      <c r="F198" s="13"/>
      <c r="G198" s="104">
        <f>SUM(G196:G197)</f>
        <v>0</v>
      </c>
      <c r="H198" s="1">
        <f>SUM(H196:H197)</f>
        <v>0</v>
      </c>
      <c r="I198" s="104">
        <f>SUM(I196:I197)</f>
        <v>0</v>
      </c>
      <c r="J198" s="1">
        <f>SUM(J196:J197)</f>
        <v>0</v>
      </c>
      <c r="K198" s="30"/>
      <c r="L198" s="104">
        <f>SUM(L196:L197)</f>
        <v>0</v>
      </c>
      <c r="M198" s="1">
        <f>SUM(M196:M197)</f>
        <v>0</v>
      </c>
    </row>
    <row r="199" spans="1:13" ht="12">
      <c r="A199" s="11">
        <v>10</v>
      </c>
      <c r="E199" s="11">
        <v>10</v>
      </c>
      <c r="F199" s="13"/>
      <c r="G199" s="104"/>
      <c r="H199" s="1"/>
      <c r="I199" s="104"/>
      <c r="J199" s="1"/>
      <c r="K199" s="30"/>
      <c r="L199" s="104"/>
      <c r="M199" s="1"/>
    </row>
    <row r="200" spans="1:13" ht="12">
      <c r="A200" s="11">
        <v>11</v>
      </c>
      <c r="C200" s="12" t="s">
        <v>28</v>
      </c>
      <c r="E200" s="11">
        <v>11</v>
      </c>
      <c r="F200" s="13"/>
      <c r="G200" s="104">
        <f>SUM(G198,G193)</f>
        <v>0</v>
      </c>
      <c r="H200" s="1">
        <f>SUM(H198,H193)</f>
        <v>0</v>
      </c>
      <c r="I200" s="104">
        <f>SUM(I198,I193)</f>
        <v>0</v>
      </c>
      <c r="J200" s="1">
        <f>SUM(J198,J193)</f>
        <v>0</v>
      </c>
      <c r="K200" s="30"/>
      <c r="L200" s="104">
        <f>SUM(L198,L193)</f>
        <v>0</v>
      </c>
      <c r="M200" s="1">
        <f>SUM(M198,M193)</f>
        <v>0</v>
      </c>
    </row>
    <row r="201" spans="1:13" ht="12">
      <c r="A201" s="11">
        <v>12</v>
      </c>
      <c r="E201" s="11">
        <v>12</v>
      </c>
      <c r="F201" s="13"/>
      <c r="G201" s="104"/>
      <c r="H201" s="1"/>
      <c r="I201" s="104"/>
      <c r="J201" s="1"/>
      <c r="K201" s="30"/>
      <c r="L201" s="104"/>
      <c r="M201" s="1"/>
    </row>
    <row r="202" spans="1:13" ht="12">
      <c r="A202" s="11">
        <v>13</v>
      </c>
      <c r="C202" s="12" t="s">
        <v>38</v>
      </c>
      <c r="E202" s="11">
        <v>13</v>
      </c>
      <c r="F202" s="13"/>
      <c r="G202" s="104"/>
      <c r="H202" s="1"/>
      <c r="I202" s="104"/>
      <c r="J202" s="1"/>
      <c r="K202" s="110"/>
      <c r="L202" s="104"/>
      <c r="M202" s="1"/>
    </row>
    <row r="203" spans="1:13" ht="12">
      <c r="A203" s="11">
        <v>14</v>
      </c>
      <c r="E203" s="11">
        <v>14</v>
      </c>
      <c r="F203" s="13"/>
      <c r="G203" s="104"/>
      <c r="H203" s="1"/>
      <c r="I203" s="104"/>
      <c r="J203" s="1"/>
      <c r="K203" s="110"/>
      <c r="L203" s="104"/>
      <c r="M203" s="1"/>
    </row>
    <row r="204" spans="1:13" ht="12">
      <c r="A204" s="11">
        <v>15</v>
      </c>
      <c r="C204" s="12" t="s">
        <v>30</v>
      </c>
      <c r="E204" s="11">
        <v>15</v>
      </c>
      <c r="F204" s="13"/>
      <c r="G204" s="104"/>
      <c r="H204" s="1"/>
      <c r="I204" s="104"/>
      <c r="J204" s="1"/>
      <c r="K204" s="110"/>
      <c r="L204" s="104"/>
      <c r="M204" s="1"/>
    </row>
    <row r="205" spans="1:13" ht="12">
      <c r="A205" s="11">
        <v>16</v>
      </c>
      <c r="C205" s="12" t="s">
        <v>31</v>
      </c>
      <c r="E205" s="11">
        <v>16</v>
      </c>
      <c r="F205" s="13"/>
      <c r="G205" s="104"/>
      <c r="H205" s="1"/>
      <c r="I205" s="104"/>
      <c r="J205" s="1"/>
      <c r="K205" s="110"/>
      <c r="L205" s="104"/>
      <c r="M205" s="1"/>
    </row>
    <row r="206" spans="1:13" ht="12">
      <c r="A206" s="11">
        <v>17</v>
      </c>
      <c r="C206" s="12" t="s">
        <v>32</v>
      </c>
      <c r="E206" s="11">
        <v>17</v>
      </c>
      <c r="F206" s="13"/>
      <c r="G206" s="104"/>
      <c r="H206" s="1"/>
      <c r="I206" s="104"/>
      <c r="J206" s="1"/>
      <c r="K206" s="110"/>
      <c r="L206" s="104"/>
      <c r="M206" s="1"/>
    </row>
    <row r="207" spans="1:13" ht="12">
      <c r="A207" s="11">
        <v>18</v>
      </c>
      <c r="E207" s="11">
        <v>18</v>
      </c>
      <c r="F207" s="13"/>
      <c r="G207" s="104"/>
      <c r="H207" s="1"/>
      <c r="I207" s="104"/>
      <c r="J207" s="1"/>
      <c r="K207" s="110"/>
      <c r="L207" s="104"/>
      <c r="M207" s="1"/>
    </row>
    <row r="208" spans="1:13" ht="12">
      <c r="A208" s="11">
        <v>19</v>
      </c>
      <c r="C208" s="12" t="s">
        <v>42</v>
      </c>
      <c r="E208" s="11">
        <v>19</v>
      </c>
      <c r="F208" s="13"/>
      <c r="G208" s="104"/>
      <c r="H208" s="1">
        <v>0</v>
      </c>
      <c r="I208" s="104"/>
      <c r="J208" s="1">
        <v>0</v>
      </c>
      <c r="K208" s="110"/>
      <c r="L208" s="104"/>
      <c r="M208" s="1">
        <v>0</v>
      </c>
    </row>
    <row r="209" spans="1:13" ht="12">
      <c r="A209" s="11">
        <v>20</v>
      </c>
      <c r="C209" s="12"/>
      <c r="E209" s="11">
        <v>20</v>
      </c>
      <c r="F209" s="13"/>
      <c r="G209" s="104"/>
      <c r="H209" s="1"/>
      <c r="I209" s="104"/>
      <c r="J209" s="1"/>
      <c r="K209" s="110"/>
      <c r="L209" s="104"/>
      <c r="M209" s="1"/>
    </row>
    <row r="210" spans="1:13" ht="12">
      <c r="A210" s="11">
        <v>21</v>
      </c>
      <c r="C210" s="12"/>
      <c r="E210" s="11">
        <v>21</v>
      </c>
      <c r="F210" s="13"/>
      <c r="G210" s="104"/>
      <c r="H210" s="1"/>
      <c r="I210" s="104"/>
      <c r="J210" s="1"/>
      <c r="K210" s="110"/>
      <c r="L210" s="104"/>
      <c r="M210" s="1"/>
    </row>
    <row r="211" spans="1:13" ht="12">
      <c r="A211" s="11">
        <v>22</v>
      </c>
      <c r="C211" s="12"/>
      <c r="E211" s="11">
        <v>22</v>
      </c>
      <c r="F211" s="13"/>
      <c r="G211" s="104"/>
      <c r="H211" s="1"/>
      <c r="I211" s="104"/>
      <c r="J211" s="1"/>
      <c r="K211" s="110"/>
      <c r="L211" s="104"/>
      <c r="M211" s="1"/>
    </row>
    <row r="212" spans="1:13" ht="12">
      <c r="A212" s="11">
        <v>23</v>
      </c>
      <c r="C212" s="12"/>
      <c r="E212" s="11">
        <v>23</v>
      </c>
      <c r="F212" s="13"/>
      <c r="G212" s="104"/>
      <c r="H212" s="1"/>
      <c r="I212" s="104"/>
      <c r="J212" s="1"/>
      <c r="K212" s="110"/>
      <c r="L212" s="104"/>
      <c r="M212" s="1"/>
    </row>
    <row r="213" spans="1:13" ht="12">
      <c r="A213" s="11">
        <v>24</v>
      </c>
      <c r="C213" s="12"/>
      <c r="E213" s="11">
        <v>24</v>
      </c>
      <c r="F213" s="13"/>
      <c r="G213" s="119"/>
      <c r="H213" s="98"/>
      <c r="I213" s="119"/>
      <c r="J213" s="98"/>
      <c r="K213" s="13"/>
      <c r="L213" s="119"/>
      <c r="M213" s="98"/>
    </row>
    <row r="214" spans="5:13" ht="12">
      <c r="E214" s="50"/>
      <c r="F214" s="90" t="s">
        <v>1</v>
      </c>
      <c r="G214" s="89"/>
      <c r="H214" s="90"/>
      <c r="I214" s="90" t="s">
        <v>1</v>
      </c>
      <c r="J214" s="23" t="s">
        <v>1</v>
      </c>
      <c r="K214" s="90" t="s">
        <v>1</v>
      </c>
      <c r="L214" s="90" t="s">
        <v>1</v>
      </c>
      <c r="M214" s="23" t="s">
        <v>1</v>
      </c>
    </row>
    <row r="215" spans="1:13" ht="12">
      <c r="A215" s="11">
        <v>25</v>
      </c>
      <c r="C215" s="12" t="s">
        <v>239</v>
      </c>
      <c r="E215" s="11">
        <v>25</v>
      </c>
      <c r="G215" s="107">
        <f>SUM(G200:G213)</f>
        <v>0</v>
      </c>
      <c r="H215" s="100">
        <f>SUM(H200:H213)</f>
        <v>0</v>
      </c>
      <c r="I215" s="107">
        <f>SUM(I200:I213)</f>
        <v>0</v>
      </c>
      <c r="J215" s="100">
        <f>SUM(J200:J213)</f>
        <v>0</v>
      </c>
      <c r="K215" s="30"/>
      <c r="L215" s="107">
        <f>SUM(L200:L213)</f>
        <v>0</v>
      </c>
      <c r="M215" s="100">
        <f>SUM(M200:M213)</f>
        <v>0</v>
      </c>
    </row>
    <row r="216" spans="5:13" ht="12">
      <c r="E216" s="50"/>
      <c r="F216" s="90" t="s">
        <v>1</v>
      </c>
      <c r="G216" s="90"/>
      <c r="H216" s="90"/>
      <c r="I216" s="22"/>
      <c r="J216" s="23"/>
      <c r="K216" s="90"/>
      <c r="L216" s="22"/>
      <c r="M216" s="23"/>
    </row>
    <row r="217" ht="12">
      <c r="A217" s="12"/>
    </row>
    <row r="218" ht="12">
      <c r="A218" s="12"/>
    </row>
    <row r="219" spans="1:13" s="46" customFormat="1" ht="12">
      <c r="A219" s="19" t="str">
        <f>$A$36</f>
        <v>Institution No.:  </v>
      </c>
      <c r="E219" s="51"/>
      <c r="I219" s="52"/>
      <c r="J219" s="53"/>
      <c r="L219" s="52"/>
      <c r="M219" s="18" t="s">
        <v>53</v>
      </c>
    </row>
    <row r="220" spans="1:13" s="46" customFormat="1" ht="12">
      <c r="A220" s="274" t="s">
        <v>155</v>
      </c>
      <c r="B220" s="274"/>
      <c r="C220" s="274"/>
      <c r="D220" s="274"/>
      <c r="E220" s="274"/>
      <c r="F220" s="274"/>
      <c r="G220" s="274"/>
      <c r="H220" s="274"/>
      <c r="I220" s="274"/>
      <c r="J220" s="274"/>
      <c r="K220" s="274"/>
      <c r="L220" s="274"/>
      <c r="M220" s="274"/>
    </row>
    <row r="221" spans="1:13" ht="12">
      <c r="A221" s="19"/>
      <c r="F221" s="92"/>
      <c r="G221" s="92"/>
      <c r="H221" s="92"/>
      <c r="I221" s="85"/>
      <c r="J221" s="86"/>
      <c r="L221" s="17"/>
      <c r="M221" s="20" t="str">
        <f>$M$3</f>
        <v>Date: 10/1/2008</v>
      </c>
    </row>
    <row r="222" spans="1:13" ht="12">
      <c r="A222" s="21" t="s">
        <v>1</v>
      </c>
      <c r="B222" s="21" t="s">
        <v>1</v>
      </c>
      <c r="C222" s="21" t="s">
        <v>1</v>
      </c>
      <c r="D222" s="21" t="s">
        <v>1</v>
      </c>
      <c r="E222" s="21" t="s">
        <v>1</v>
      </c>
      <c r="F222" s="21" t="s">
        <v>1</v>
      </c>
      <c r="G222" s="21"/>
      <c r="H222" s="21"/>
      <c r="I222" s="22" t="s">
        <v>1</v>
      </c>
      <c r="J222" s="23" t="s">
        <v>1</v>
      </c>
      <c r="K222" s="21" t="s">
        <v>1</v>
      </c>
      <c r="L222" s="22" t="s">
        <v>1</v>
      </c>
      <c r="M222" s="23" t="s">
        <v>1</v>
      </c>
    </row>
    <row r="223" spans="1:13" ht="12">
      <c r="A223" s="24" t="s">
        <v>2</v>
      </c>
      <c r="E223" s="24" t="s">
        <v>2</v>
      </c>
      <c r="F223" s="25"/>
      <c r="G223" s="26"/>
      <c r="H223" s="25" t="s">
        <v>249</v>
      </c>
      <c r="I223" s="26"/>
      <c r="J223" s="27" t="s">
        <v>251</v>
      </c>
      <c r="K223" s="25"/>
      <c r="L223" s="26"/>
      <c r="M223" s="27" t="s">
        <v>260</v>
      </c>
    </row>
    <row r="224" spans="1:13" ht="12">
      <c r="A224" s="24" t="s">
        <v>4</v>
      </c>
      <c r="C224" s="28" t="s">
        <v>20</v>
      </c>
      <c r="E224" s="24" t="s">
        <v>4</v>
      </c>
      <c r="H224" s="27" t="s">
        <v>7</v>
      </c>
      <c r="I224" s="17"/>
      <c r="J224" s="27" t="s">
        <v>7</v>
      </c>
      <c r="L224" s="17"/>
      <c r="M224" s="27" t="s">
        <v>8</v>
      </c>
    </row>
    <row r="225" spans="1:13" ht="12">
      <c r="A225" s="21" t="s">
        <v>1</v>
      </c>
      <c r="B225" s="21" t="s">
        <v>1</v>
      </c>
      <c r="C225" s="21" t="s">
        <v>1</v>
      </c>
      <c r="D225" s="21" t="s">
        <v>1</v>
      </c>
      <c r="E225" s="21" t="s">
        <v>1</v>
      </c>
      <c r="F225" s="21" t="s">
        <v>1</v>
      </c>
      <c r="G225" s="21"/>
      <c r="H225" s="21"/>
      <c r="I225" s="22" t="s">
        <v>1</v>
      </c>
      <c r="J225" s="23" t="s">
        <v>1</v>
      </c>
      <c r="K225" s="21" t="s">
        <v>1</v>
      </c>
      <c r="L225" s="22" t="s">
        <v>1</v>
      </c>
      <c r="M225" s="23" t="s">
        <v>1</v>
      </c>
    </row>
    <row r="226" spans="1:13" ht="12">
      <c r="A226" s="11">
        <v>1</v>
      </c>
      <c r="C226" s="12" t="s">
        <v>54</v>
      </c>
      <c r="E226" s="11">
        <v>1</v>
      </c>
      <c r="F226" s="13"/>
      <c r="G226" s="13"/>
      <c r="H226" s="1"/>
      <c r="I226" s="1"/>
      <c r="J226" s="1"/>
      <c r="K226" s="1"/>
      <c r="L226" s="1"/>
      <c r="M226" s="1"/>
    </row>
    <row r="227" spans="1:13" ht="12">
      <c r="A227" s="11">
        <f aca="true" t="shared" si="2" ref="A227:A244">(A226+1)</f>
        <v>2</v>
      </c>
      <c r="C227" s="13"/>
      <c r="E227" s="11">
        <f aca="true" t="shared" si="3" ref="E227:E244">(E226+1)</f>
        <v>2</v>
      </c>
      <c r="F227" s="13"/>
      <c r="G227" s="13"/>
      <c r="H227" s="13"/>
      <c r="I227" s="14"/>
      <c r="J227" s="15"/>
      <c r="K227" s="13"/>
      <c r="L227" s="14"/>
      <c r="M227" s="15"/>
    </row>
    <row r="228" spans="1:13" ht="12">
      <c r="A228" s="11">
        <f t="shared" si="2"/>
        <v>3</v>
      </c>
      <c r="C228" s="13"/>
      <c r="E228" s="11">
        <f t="shared" si="3"/>
        <v>3</v>
      </c>
      <c r="F228" s="13"/>
      <c r="G228" s="13"/>
      <c r="H228" s="13"/>
      <c r="I228" s="14"/>
      <c r="J228" s="15"/>
      <c r="K228" s="13"/>
      <c r="L228" s="14"/>
      <c r="M228" s="15"/>
    </row>
    <row r="229" spans="1:13" ht="12">
      <c r="A229" s="11">
        <f t="shared" si="2"/>
        <v>4</v>
      </c>
      <c r="C229" s="13"/>
      <c r="E229" s="11">
        <f t="shared" si="3"/>
        <v>4</v>
      </c>
      <c r="F229" s="13"/>
      <c r="G229" s="13"/>
      <c r="H229" s="13"/>
      <c r="I229" s="14"/>
      <c r="J229" s="15"/>
      <c r="K229" s="13"/>
      <c r="L229" s="14"/>
      <c r="M229" s="15"/>
    </row>
    <row r="230" spans="1:13" ht="12">
      <c r="A230" s="11">
        <f t="shared" si="2"/>
        <v>5</v>
      </c>
      <c r="C230" s="13"/>
      <c r="E230" s="11">
        <f t="shared" si="3"/>
        <v>5</v>
      </c>
      <c r="F230" s="13"/>
      <c r="G230" s="13"/>
      <c r="H230" s="13"/>
      <c r="I230" s="14"/>
      <c r="J230" s="15"/>
      <c r="K230" s="13"/>
      <c r="L230" s="14"/>
      <c r="M230" s="15"/>
    </row>
    <row r="231" spans="1:13" ht="12">
      <c r="A231" s="11">
        <f t="shared" si="2"/>
        <v>6</v>
      </c>
      <c r="C231" s="13"/>
      <c r="E231" s="11">
        <f t="shared" si="3"/>
        <v>6</v>
      </c>
      <c r="F231" s="13"/>
      <c r="G231" s="13"/>
      <c r="H231" s="13"/>
      <c r="I231" s="14"/>
      <c r="J231" s="15"/>
      <c r="K231" s="13"/>
      <c r="L231" s="14"/>
      <c r="M231" s="15"/>
    </row>
    <row r="232" spans="1:13" ht="12">
      <c r="A232" s="11">
        <f t="shared" si="2"/>
        <v>7</v>
      </c>
      <c r="C232" s="13"/>
      <c r="E232" s="11">
        <f t="shared" si="3"/>
        <v>7</v>
      </c>
      <c r="F232" s="13"/>
      <c r="G232" s="13"/>
      <c r="H232" s="13"/>
      <c r="I232" s="14"/>
      <c r="J232" s="15"/>
      <c r="K232" s="13"/>
      <c r="L232" s="14"/>
      <c r="M232" s="15"/>
    </row>
    <row r="233" spans="1:13" ht="12">
      <c r="A233" s="11">
        <f t="shared" si="2"/>
        <v>8</v>
      </c>
      <c r="C233" s="13"/>
      <c r="E233" s="11">
        <f t="shared" si="3"/>
        <v>8</v>
      </c>
      <c r="F233" s="13"/>
      <c r="G233" s="13"/>
      <c r="H233" s="13"/>
      <c r="I233" s="14"/>
      <c r="J233" s="15"/>
      <c r="K233" s="13"/>
      <c r="L233" s="14"/>
      <c r="M233" s="15"/>
    </row>
    <row r="234" spans="1:13" ht="12">
      <c r="A234" s="11">
        <f t="shared" si="2"/>
        <v>9</v>
      </c>
      <c r="C234" s="13"/>
      <c r="E234" s="11">
        <f t="shared" si="3"/>
        <v>9</v>
      </c>
      <c r="F234" s="13"/>
      <c r="G234" s="13"/>
      <c r="H234" s="13"/>
      <c r="I234" s="14"/>
      <c r="J234" s="15"/>
      <c r="K234" s="13"/>
      <c r="L234" s="14"/>
      <c r="M234" s="15"/>
    </row>
    <row r="235" spans="1:13" ht="12">
      <c r="A235" s="11">
        <f t="shared" si="2"/>
        <v>10</v>
      </c>
      <c r="C235" s="13"/>
      <c r="E235" s="11">
        <f t="shared" si="3"/>
        <v>10</v>
      </c>
      <c r="F235" s="13"/>
      <c r="G235" s="13"/>
      <c r="H235" s="13"/>
      <c r="I235" s="14"/>
      <c r="J235" s="15"/>
      <c r="K235" s="13"/>
      <c r="L235" s="14"/>
      <c r="M235" s="15"/>
    </row>
    <row r="236" spans="1:13" ht="12">
      <c r="A236" s="11">
        <f t="shared" si="2"/>
        <v>11</v>
      </c>
      <c r="C236" s="13"/>
      <c r="E236" s="11">
        <f t="shared" si="3"/>
        <v>11</v>
      </c>
      <c r="I236" s="14"/>
      <c r="J236" s="15"/>
      <c r="K236" s="13"/>
      <c r="L236" s="14"/>
      <c r="M236" s="15"/>
    </row>
    <row r="237" spans="1:13" ht="12">
      <c r="A237" s="11">
        <f t="shared" si="2"/>
        <v>12</v>
      </c>
      <c r="C237" s="13"/>
      <c r="E237" s="11">
        <f t="shared" si="3"/>
        <v>12</v>
      </c>
      <c r="I237" s="14"/>
      <c r="J237" s="15"/>
      <c r="K237" s="13"/>
      <c r="L237" s="14"/>
      <c r="M237" s="15"/>
    </row>
    <row r="238" spans="1:13" ht="12">
      <c r="A238" s="11">
        <f t="shared" si="2"/>
        <v>13</v>
      </c>
      <c r="C238" s="13"/>
      <c r="E238" s="11">
        <f t="shared" si="3"/>
        <v>13</v>
      </c>
      <c r="F238" s="13"/>
      <c r="G238" s="13"/>
      <c r="H238" s="13"/>
      <c r="I238" s="14"/>
      <c r="J238" s="15"/>
      <c r="K238" s="13"/>
      <c r="L238" s="14"/>
      <c r="M238" s="15"/>
    </row>
    <row r="239" spans="1:13" ht="12">
      <c r="A239" s="11">
        <f t="shared" si="2"/>
        <v>14</v>
      </c>
      <c r="C239" s="13"/>
      <c r="E239" s="11">
        <f t="shared" si="3"/>
        <v>14</v>
      </c>
      <c r="F239" s="13"/>
      <c r="G239" s="13"/>
      <c r="H239" s="13"/>
      <c r="I239" s="14"/>
      <c r="J239" s="15"/>
      <c r="K239" s="13"/>
      <c r="L239" s="14"/>
      <c r="M239" s="15"/>
    </row>
    <row r="240" spans="1:13" ht="12">
      <c r="A240" s="11">
        <f t="shared" si="2"/>
        <v>15</v>
      </c>
      <c r="C240" s="13"/>
      <c r="E240" s="11">
        <f t="shared" si="3"/>
        <v>15</v>
      </c>
      <c r="F240" s="13"/>
      <c r="G240" s="13"/>
      <c r="H240" s="13"/>
      <c r="I240" s="14"/>
      <c r="J240" s="15"/>
      <c r="K240" s="13"/>
      <c r="L240" s="14"/>
      <c r="M240" s="15"/>
    </row>
    <row r="241" spans="1:13" ht="12">
      <c r="A241" s="11">
        <f t="shared" si="2"/>
        <v>16</v>
      </c>
      <c r="C241" s="13"/>
      <c r="E241" s="11">
        <f t="shared" si="3"/>
        <v>16</v>
      </c>
      <c r="F241" s="13"/>
      <c r="G241" s="13"/>
      <c r="H241" s="13"/>
      <c r="I241" s="14"/>
      <c r="J241" s="15"/>
      <c r="K241" s="13"/>
      <c r="L241" s="14"/>
      <c r="M241" s="15"/>
    </row>
    <row r="242" spans="1:13" ht="12">
      <c r="A242" s="11">
        <f t="shared" si="2"/>
        <v>17</v>
      </c>
      <c r="C242" s="13"/>
      <c r="E242" s="11">
        <f t="shared" si="3"/>
        <v>17</v>
      </c>
      <c r="F242" s="13"/>
      <c r="G242" s="13"/>
      <c r="H242" s="13"/>
      <c r="I242" s="14"/>
      <c r="J242" s="15"/>
      <c r="K242" s="13"/>
      <c r="L242" s="14"/>
      <c r="M242" s="15"/>
    </row>
    <row r="243" spans="1:13" ht="12">
      <c r="A243" s="11">
        <f t="shared" si="2"/>
        <v>18</v>
      </c>
      <c r="C243" s="13"/>
      <c r="E243" s="11">
        <f t="shared" si="3"/>
        <v>18</v>
      </c>
      <c r="F243" s="13"/>
      <c r="G243" s="13"/>
      <c r="H243" s="13"/>
      <c r="I243" s="14"/>
      <c r="J243" s="15"/>
      <c r="K243" s="13"/>
      <c r="L243" s="14"/>
      <c r="M243" s="15"/>
    </row>
    <row r="244" spans="1:13" ht="12">
      <c r="A244" s="11">
        <f t="shared" si="2"/>
        <v>19</v>
      </c>
      <c r="C244" s="13"/>
      <c r="E244" s="11">
        <f t="shared" si="3"/>
        <v>19</v>
      </c>
      <c r="F244" s="13"/>
      <c r="G244" s="13"/>
      <c r="H244" s="13"/>
      <c r="I244" s="14"/>
      <c r="J244" s="15"/>
      <c r="K244" s="13"/>
      <c r="L244" s="14"/>
      <c r="M244" s="15"/>
    </row>
    <row r="245" spans="1:13" ht="12">
      <c r="A245" s="11">
        <v>20</v>
      </c>
      <c r="E245" s="11">
        <v>20</v>
      </c>
      <c r="F245" s="90"/>
      <c r="G245" s="90"/>
      <c r="H245" s="90"/>
      <c r="I245" s="22"/>
      <c r="J245" s="23"/>
      <c r="K245" s="90"/>
      <c r="L245" s="22"/>
      <c r="M245" s="23"/>
    </row>
    <row r="246" spans="1:13" ht="12">
      <c r="A246" s="11">
        <v>21</v>
      </c>
      <c r="E246" s="11">
        <v>21</v>
      </c>
      <c r="F246" s="90"/>
      <c r="G246" s="90"/>
      <c r="H246" s="90"/>
      <c r="I246" s="22"/>
      <c r="J246" s="55"/>
      <c r="K246" s="90"/>
      <c r="L246" s="22"/>
      <c r="M246" s="55"/>
    </row>
    <row r="247" spans="1:13" ht="12">
      <c r="A247" s="11">
        <v>22</v>
      </c>
      <c r="E247" s="11">
        <v>22</v>
      </c>
      <c r="I247" s="17"/>
      <c r="J247" s="55"/>
      <c r="L247" s="17"/>
      <c r="M247" s="55"/>
    </row>
    <row r="248" spans="1:13" ht="12">
      <c r="A248" s="11">
        <v>23</v>
      </c>
      <c r="D248" s="81"/>
      <c r="E248" s="11">
        <v>23</v>
      </c>
      <c r="J248" s="55"/>
      <c r="M248" s="55"/>
    </row>
    <row r="249" spans="1:13" ht="12">
      <c r="A249" s="11">
        <v>24</v>
      </c>
      <c r="D249" s="81"/>
      <c r="E249" s="11">
        <v>24</v>
      </c>
      <c r="J249" s="55"/>
      <c r="M249" s="55"/>
    </row>
    <row r="250" spans="6:13" ht="12">
      <c r="F250" s="90" t="s">
        <v>1</v>
      </c>
      <c r="G250" s="90"/>
      <c r="H250" s="90"/>
      <c r="I250" s="22" t="s">
        <v>1</v>
      </c>
      <c r="J250" s="23"/>
      <c r="K250" s="90"/>
      <c r="L250" s="22"/>
      <c r="M250" s="23"/>
    </row>
    <row r="251" spans="1:13" ht="12">
      <c r="A251" s="11">
        <v>25</v>
      </c>
      <c r="C251" s="12" t="s">
        <v>240</v>
      </c>
      <c r="E251" s="11">
        <v>25</v>
      </c>
      <c r="H251" s="100">
        <f>SUM(H226:H249)</f>
        <v>0</v>
      </c>
      <c r="I251" s="101"/>
      <c r="J251" s="100">
        <f>SUM(J226:J249)</f>
        <v>0</v>
      </c>
      <c r="K251" s="100"/>
      <c r="L251" s="101"/>
      <c r="M251" s="100">
        <f>SUM(M226:M249)</f>
        <v>0</v>
      </c>
    </row>
    <row r="252" spans="4:13" ht="12">
      <c r="D252" s="81"/>
      <c r="F252" s="90" t="s">
        <v>1</v>
      </c>
      <c r="G252" s="90"/>
      <c r="H252" s="90"/>
      <c r="I252" s="22" t="s">
        <v>1</v>
      </c>
      <c r="J252" s="23"/>
      <c r="K252" s="90"/>
      <c r="L252" s="22"/>
      <c r="M252" s="23"/>
    </row>
    <row r="253" spans="6:13" ht="12">
      <c r="F253" s="90"/>
      <c r="G253" s="90"/>
      <c r="H253" s="90"/>
      <c r="I253" s="22"/>
      <c r="J253" s="23"/>
      <c r="K253" s="90"/>
      <c r="L253" s="22"/>
      <c r="M253" s="23"/>
    </row>
    <row r="254" spans="9:13" ht="12">
      <c r="I254" s="17"/>
      <c r="J254" s="55"/>
      <c r="L254" s="17"/>
      <c r="M254" s="55"/>
    </row>
    <row r="255" spans="5:13" ht="12">
      <c r="E255" s="7">
        <v>26</v>
      </c>
      <c r="I255" s="17"/>
      <c r="J255" s="55"/>
      <c r="L255" s="17"/>
      <c r="M255" s="55"/>
    </row>
    <row r="256" ht="12">
      <c r="A256" s="12"/>
    </row>
    <row r="257" spans="1:13" ht="12">
      <c r="A257" s="12"/>
      <c r="J257" s="55"/>
      <c r="M257" s="55"/>
    </row>
    <row r="258" spans="1:13" s="46" customFormat="1" ht="12">
      <c r="A258" s="19" t="str">
        <f>$A$36</f>
        <v>Institution No.:  </v>
      </c>
      <c r="E258" s="51"/>
      <c r="I258" s="52"/>
      <c r="J258" s="53"/>
      <c r="L258" s="52"/>
      <c r="M258" s="18" t="s">
        <v>56</v>
      </c>
    </row>
    <row r="259" spans="1:13" s="46" customFormat="1" ht="12">
      <c r="A259" s="275" t="s">
        <v>57</v>
      </c>
      <c r="B259" s="275"/>
      <c r="C259" s="275"/>
      <c r="D259" s="275"/>
      <c r="E259" s="275"/>
      <c r="F259" s="275"/>
      <c r="G259" s="275"/>
      <c r="H259" s="275"/>
      <c r="I259" s="275"/>
      <c r="J259" s="275"/>
      <c r="K259" s="275"/>
      <c r="L259" s="275"/>
      <c r="M259" s="275"/>
    </row>
    <row r="260" spans="1:13" ht="12">
      <c r="A260" s="19"/>
      <c r="J260" s="127"/>
      <c r="L260" s="17"/>
      <c r="M260" s="20" t="str">
        <f>$M$3</f>
        <v>Date: 10/1/2008</v>
      </c>
    </row>
    <row r="261" spans="1:13" ht="12">
      <c r="A261" s="21" t="s">
        <v>1</v>
      </c>
      <c r="B261" s="21" t="s">
        <v>1</v>
      </c>
      <c r="C261" s="21" t="s">
        <v>1</v>
      </c>
      <c r="D261" s="21" t="s">
        <v>1</v>
      </c>
      <c r="E261" s="21" t="s">
        <v>1</v>
      </c>
      <c r="F261" s="21" t="s">
        <v>1</v>
      </c>
      <c r="G261" s="21"/>
      <c r="H261" s="21"/>
      <c r="I261" s="22" t="s">
        <v>1</v>
      </c>
      <c r="J261" s="23" t="s">
        <v>1</v>
      </c>
      <c r="K261" s="21" t="s">
        <v>1</v>
      </c>
      <c r="L261" s="22" t="s">
        <v>1</v>
      </c>
      <c r="M261" s="23" t="s">
        <v>1</v>
      </c>
    </row>
    <row r="262" spans="1:13" ht="12">
      <c r="A262" s="24" t="s">
        <v>2</v>
      </c>
      <c r="E262" s="24" t="s">
        <v>2</v>
      </c>
      <c r="F262" s="25"/>
      <c r="G262" s="26"/>
      <c r="H262" s="25" t="s">
        <v>249</v>
      </c>
      <c r="I262" s="26"/>
      <c r="J262" s="27" t="s">
        <v>251</v>
      </c>
      <c r="K262" s="25"/>
      <c r="L262" s="26"/>
      <c r="M262" s="27" t="s">
        <v>260</v>
      </c>
    </row>
    <row r="263" spans="1:13" ht="12">
      <c r="A263" s="24" t="s">
        <v>4</v>
      </c>
      <c r="C263" s="28" t="s">
        <v>20</v>
      </c>
      <c r="E263" s="24" t="s">
        <v>4</v>
      </c>
      <c r="F263" s="25"/>
      <c r="G263" s="25"/>
      <c r="H263" s="27" t="s">
        <v>7</v>
      </c>
      <c r="I263" s="26"/>
      <c r="J263" s="27" t="s">
        <v>7</v>
      </c>
      <c r="K263" s="25"/>
      <c r="L263" s="26"/>
      <c r="M263" s="27" t="s">
        <v>8</v>
      </c>
    </row>
    <row r="264" spans="1:13" ht="12">
      <c r="A264" s="21" t="s">
        <v>1</v>
      </c>
      <c r="B264" s="21" t="s">
        <v>1</v>
      </c>
      <c r="C264" s="21" t="s">
        <v>1</v>
      </c>
      <c r="D264" s="21" t="s">
        <v>1</v>
      </c>
      <c r="E264" s="21" t="s">
        <v>1</v>
      </c>
      <c r="F264" s="21" t="s">
        <v>1</v>
      </c>
      <c r="G264" s="21"/>
      <c r="H264" s="21"/>
      <c r="I264" s="22" t="s">
        <v>1</v>
      </c>
      <c r="J264" s="23" t="s">
        <v>1</v>
      </c>
      <c r="K264" s="21" t="s">
        <v>1</v>
      </c>
      <c r="L264" s="22" t="s">
        <v>1</v>
      </c>
      <c r="M264" s="23" t="s">
        <v>1</v>
      </c>
    </row>
    <row r="265" spans="1:13" ht="12">
      <c r="A265" s="93">
        <v>1</v>
      </c>
      <c r="C265" s="7" t="s">
        <v>58</v>
      </c>
      <c r="E265" s="93">
        <v>1</v>
      </c>
      <c r="F265" s="13"/>
      <c r="G265" s="13"/>
      <c r="H265" s="1"/>
      <c r="I265" s="1"/>
      <c r="J265" s="1"/>
      <c r="K265" s="1"/>
      <c r="L265" s="1"/>
      <c r="M265" s="1"/>
    </row>
    <row r="266" spans="1:13" ht="12">
      <c r="A266" s="93">
        <v>2</v>
      </c>
      <c r="E266" s="93">
        <v>2</v>
      </c>
      <c r="F266" s="13"/>
      <c r="G266" s="13"/>
      <c r="H266" s="1"/>
      <c r="I266" s="1"/>
      <c r="J266" s="1"/>
      <c r="K266" s="1"/>
      <c r="L266" s="1"/>
      <c r="M266" s="1">
        <v>0</v>
      </c>
    </row>
    <row r="267" spans="1:13" ht="12">
      <c r="A267" s="93">
        <v>3</v>
      </c>
      <c r="C267" s="13"/>
      <c r="E267" s="93">
        <v>3</v>
      </c>
      <c r="F267" s="13"/>
      <c r="G267" s="13"/>
      <c r="H267" s="1">
        <v>0</v>
      </c>
      <c r="I267" s="1"/>
      <c r="J267" s="1">
        <v>0</v>
      </c>
      <c r="K267" s="1"/>
      <c r="L267" s="1"/>
      <c r="M267" s="1">
        <v>0</v>
      </c>
    </row>
    <row r="268" spans="1:13" ht="12">
      <c r="A268" s="93">
        <v>4</v>
      </c>
      <c r="C268" s="13"/>
      <c r="E268" s="93">
        <v>4</v>
      </c>
      <c r="F268" s="13"/>
      <c r="G268" s="13"/>
      <c r="H268" s="1">
        <v>0</v>
      </c>
      <c r="I268" s="1"/>
      <c r="J268" s="1">
        <v>0</v>
      </c>
      <c r="K268" s="1"/>
      <c r="L268" s="1"/>
      <c r="M268" s="1">
        <v>0</v>
      </c>
    </row>
    <row r="269" spans="1:13" ht="12">
      <c r="A269" s="93">
        <v>5</v>
      </c>
      <c r="C269" s="12"/>
      <c r="E269" s="93">
        <v>5</v>
      </c>
      <c r="F269" s="13"/>
      <c r="G269" s="13"/>
      <c r="H269" s="1">
        <v>0</v>
      </c>
      <c r="I269" s="1"/>
      <c r="J269" s="1">
        <v>0</v>
      </c>
      <c r="K269" s="1"/>
      <c r="L269" s="1"/>
      <c r="M269" s="1">
        <v>0</v>
      </c>
    </row>
    <row r="270" spans="1:13" ht="12">
      <c r="A270" s="93">
        <v>6</v>
      </c>
      <c r="C270" s="13"/>
      <c r="E270" s="93">
        <v>6</v>
      </c>
      <c r="F270" s="13"/>
      <c r="G270" s="13"/>
      <c r="H270" s="1">
        <v>0</v>
      </c>
      <c r="I270" s="1"/>
      <c r="J270" s="1">
        <v>0</v>
      </c>
      <c r="K270" s="1"/>
      <c r="L270" s="1"/>
      <c r="M270" s="1">
        <v>0</v>
      </c>
    </row>
    <row r="271" spans="1:13" ht="12">
      <c r="A271" s="93">
        <v>7</v>
      </c>
      <c r="C271" s="13"/>
      <c r="E271" s="93">
        <v>7</v>
      </c>
      <c r="F271" s="13"/>
      <c r="G271" s="13"/>
      <c r="H271" s="1">
        <v>0</v>
      </c>
      <c r="I271" s="1"/>
      <c r="J271" s="1">
        <v>0</v>
      </c>
      <c r="K271" s="1"/>
      <c r="L271" s="1"/>
      <c r="M271" s="1">
        <v>0</v>
      </c>
    </row>
    <row r="272" spans="1:13" ht="12">
      <c r="A272" s="93">
        <v>8</v>
      </c>
      <c r="E272" s="93">
        <v>8</v>
      </c>
      <c r="F272" s="13"/>
      <c r="G272" s="13"/>
      <c r="H272" s="1">
        <v>0</v>
      </c>
      <c r="I272" s="1"/>
      <c r="J272" s="1">
        <v>0</v>
      </c>
      <c r="K272" s="1"/>
      <c r="L272" s="1"/>
      <c r="M272" s="1">
        <v>0</v>
      </c>
    </row>
    <row r="273" spans="1:13" ht="12">
      <c r="A273" s="93">
        <v>9</v>
      </c>
      <c r="E273" s="93">
        <v>9</v>
      </c>
      <c r="F273" s="13"/>
      <c r="G273" s="13"/>
      <c r="H273" s="1">
        <v>0</v>
      </c>
      <c r="I273" s="1"/>
      <c r="J273" s="1">
        <v>0</v>
      </c>
      <c r="K273" s="1"/>
      <c r="L273" s="1"/>
      <c r="M273" s="1">
        <v>0</v>
      </c>
    </row>
    <row r="274" spans="1:13" ht="12">
      <c r="A274" s="96"/>
      <c r="E274" s="96"/>
      <c r="F274" s="90" t="s">
        <v>1</v>
      </c>
      <c r="G274" s="90"/>
      <c r="H274" s="116"/>
      <c r="I274" s="116" t="s">
        <v>1</v>
      </c>
      <c r="J274" s="116"/>
      <c r="K274" s="116"/>
      <c r="L274" s="116"/>
      <c r="M274" s="116"/>
    </row>
    <row r="275" spans="1:13" ht="12">
      <c r="A275" s="93">
        <v>10</v>
      </c>
      <c r="C275" s="7" t="s">
        <v>87</v>
      </c>
      <c r="E275" s="93">
        <v>10</v>
      </c>
      <c r="H275" s="100">
        <f>SUM(H265:H273)</f>
        <v>0</v>
      </c>
      <c r="I275" s="101"/>
      <c r="J275" s="1">
        <f>SUM(J265:J273)</f>
        <v>0</v>
      </c>
      <c r="K275" s="100"/>
      <c r="L275" s="101"/>
      <c r="M275" s="1">
        <f>SUM(M265:M273)</f>
        <v>0</v>
      </c>
    </row>
    <row r="276" spans="1:13" ht="12">
      <c r="A276" s="93"/>
      <c r="E276" s="93"/>
      <c r="F276" s="90" t="s">
        <v>1</v>
      </c>
      <c r="G276" s="90"/>
      <c r="H276" s="116"/>
      <c r="I276" s="116" t="s">
        <v>1</v>
      </c>
      <c r="J276" s="116"/>
      <c r="K276" s="116"/>
      <c r="L276" s="116"/>
      <c r="M276" s="116"/>
    </row>
    <row r="277" spans="1:13" ht="12">
      <c r="A277" s="93">
        <v>11</v>
      </c>
      <c r="C277" s="13"/>
      <c r="E277" s="93">
        <v>11</v>
      </c>
      <c r="F277" s="13"/>
      <c r="G277" s="13"/>
      <c r="H277" s="1"/>
      <c r="I277" s="1"/>
      <c r="J277" s="1"/>
      <c r="K277" s="1"/>
      <c r="L277" s="1"/>
      <c r="M277" s="1"/>
    </row>
    <row r="278" spans="1:13" ht="12">
      <c r="A278" s="93">
        <v>12</v>
      </c>
      <c r="C278" s="12" t="s">
        <v>158</v>
      </c>
      <c r="E278" s="93">
        <v>12</v>
      </c>
      <c r="F278" s="13"/>
      <c r="G278" s="13"/>
      <c r="H278" s="1">
        <v>26839805</v>
      </c>
      <c r="I278" s="1"/>
      <c r="J278" s="1">
        <v>13662651</v>
      </c>
      <c r="K278" s="1"/>
      <c r="L278" s="1"/>
      <c r="M278" s="1">
        <v>-1902545</v>
      </c>
    </row>
    <row r="279" spans="1:13" ht="12">
      <c r="A279" s="93">
        <v>13</v>
      </c>
      <c r="C279" s="13" t="s">
        <v>244</v>
      </c>
      <c r="E279" s="93">
        <v>13</v>
      </c>
      <c r="F279" s="13"/>
      <c r="G279" s="13"/>
      <c r="H279" s="1"/>
      <c r="I279" s="1"/>
      <c r="J279" s="1">
        <v>0</v>
      </c>
      <c r="K279" s="1"/>
      <c r="L279" s="1"/>
      <c r="M279" s="1">
        <v>0</v>
      </c>
    </row>
    <row r="280" spans="1:13" ht="12">
      <c r="A280" s="93">
        <v>14</v>
      </c>
      <c r="E280" s="93">
        <v>14</v>
      </c>
      <c r="F280" s="13"/>
      <c r="G280" s="13"/>
      <c r="H280" s="1"/>
      <c r="I280" s="1"/>
      <c r="J280" s="1"/>
      <c r="K280" s="1"/>
      <c r="L280" s="1"/>
      <c r="M280" s="1">
        <v>0</v>
      </c>
    </row>
    <row r="281" spans="1:13" ht="12">
      <c r="A281" s="93">
        <v>15</v>
      </c>
      <c r="E281" s="93">
        <v>15</v>
      </c>
      <c r="F281" s="13"/>
      <c r="G281" s="13"/>
      <c r="H281" s="1"/>
      <c r="I281" s="1"/>
      <c r="J281" s="1"/>
      <c r="K281" s="1"/>
      <c r="L281" s="1"/>
      <c r="M281" s="1">
        <v>0</v>
      </c>
    </row>
    <row r="282" spans="1:13" ht="12">
      <c r="A282" s="93">
        <v>16</v>
      </c>
      <c r="E282" s="93">
        <v>16</v>
      </c>
      <c r="F282" s="13"/>
      <c r="G282" s="13"/>
      <c r="H282" s="1"/>
      <c r="I282" s="1"/>
      <c r="J282" s="1">
        <v>0</v>
      </c>
      <c r="K282" s="1"/>
      <c r="L282" s="1"/>
      <c r="M282" s="1">
        <v>0</v>
      </c>
    </row>
    <row r="283" spans="1:13" ht="12">
      <c r="A283" s="93">
        <v>17</v>
      </c>
      <c r="C283" s="94"/>
      <c r="D283" s="95"/>
      <c r="E283" s="93">
        <v>17</v>
      </c>
      <c r="F283" s="13"/>
      <c r="G283" s="13"/>
      <c r="H283" s="1"/>
      <c r="I283" s="1"/>
      <c r="J283" s="1">
        <v>0</v>
      </c>
      <c r="K283" s="1"/>
      <c r="L283" s="1"/>
      <c r="M283" s="1">
        <v>0</v>
      </c>
    </row>
    <row r="284" spans="1:13" ht="12">
      <c r="A284" s="93">
        <v>18</v>
      </c>
      <c r="C284" s="95"/>
      <c r="D284" s="95"/>
      <c r="E284" s="93">
        <v>18</v>
      </c>
      <c r="F284" s="13"/>
      <c r="G284" s="13"/>
      <c r="H284" s="1">
        <v>0</v>
      </c>
      <c r="I284" s="1"/>
      <c r="J284" s="1">
        <v>0</v>
      </c>
      <c r="K284" s="1"/>
      <c r="L284" s="1"/>
      <c r="M284" s="1">
        <v>0</v>
      </c>
    </row>
    <row r="285" spans="1:13" ht="12">
      <c r="A285" s="93"/>
      <c r="C285" s="128"/>
      <c r="D285" s="95"/>
      <c r="E285" s="93"/>
      <c r="F285" s="90" t="s">
        <v>1</v>
      </c>
      <c r="G285" s="90"/>
      <c r="H285" s="90"/>
      <c r="I285" s="22" t="s">
        <v>1</v>
      </c>
      <c r="J285" s="23"/>
      <c r="K285" s="90"/>
      <c r="L285" s="22"/>
      <c r="M285" s="23"/>
    </row>
    <row r="286" spans="1:13" ht="12">
      <c r="A286" s="93">
        <v>19</v>
      </c>
      <c r="C286" s="7" t="s">
        <v>159</v>
      </c>
      <c r="D286" s="95"/>
      <c r="E286" s="93">
        <v>19</v>
      </c>
      <c r="H286" s="100">
        <f>SUM(H277:H284)</f>
        <v>26839805</v>
      </c>
      <c r="I286" s="100"/>
      <c r="J286" s="100">
        <f>SUM(J277:J284)</f>
        <v>13662651</v>
      </c>
      <c r="K286" s="1"/>
      <c r="L286" s="1"/>
      <c r="M286" s="100">
        <f>SUM(M277:M284)</f>
        <v>-1902545</v>
      </c>
    </row>
    <row r="287" spans="1:13" ht="12">
      <c r="A287" s="93"/>
      <c r="C287" s="128"/>
      <c r="D287" s="95"/>
      <c r="E287" s="93"/>
      <c r="F287" s="90" t="s">
        <v>1</v>
      </c>
      <c r="G287" s="90"/>
      <c r="H287" s="90"/>
      <c r="I287" s="22" t="s">
        <v>1</v>
      </c>
      <c r="J287" s="23"/>
      <c r="K287" s="90"/>
      <c r="L287" s="22"/>
      <c r="M287" s="23"/>
    </row>
    <row r="288" spans="1:10" ht="12">
      <c r="A288" s="93"/>
      <c r="C288" s="95"/>
      <c r="D288" s="95"/>
      <c r="E288" s="93"/>
      <c r="J288" s="15"/>
    </row>
    <row r="289" spans="1:13" ht="12">
      <c r="A289" s="93">
        <v>20</v>
      </c>
      <c r="C289" s="12" t="s">
        <v>242</v>
      </c>
      <c r="E289" s="93">
        <v>20</v>
      </c>
      <c r="H289" s="100">
        <f>SUM(H275,H286)</f>
        <v>26839805</v>
      </c>
      <c r="I289" s="101"/>
      <c r="J289" s="100">
        <f>SUM(J275,J286)</f>
        <v>13662651</v>
      </c>
      <c r="K289" s="100"/>
      <c r="L289" s="101"/>
      <c r="M289" s="100">
        <f>SUM(M275,M286)</f>
        <v>-1902545</v>
      </c>
    </row>
    <row r="290" spans="3:13" ht="12">
      <c r="C290" s="33" t="s">
        <v>88</v>
      </c>
      <c r="E290" s="50"/>
      <c r="F290" s="90" t="s">
        <v>1</v>
      </c>
      <c r="G290" s="90"/>
      <c r="H290" s="90"/>
      <c r="I290" s="22" t="s">
        <v>1</v>
      </c>
      <c r="J290" s="23"/>
      <c r="K290" s="90"/>
      <c r="L290" s="22"/>
      <c r="M290" s="23"/>
    </row>
    <row r="291" ht="12">
      <c r="C291" s="12" t="s">
        <v>0</v>
      </c>
    </row>
    <row r="292" spans="4:13" ht="12" customHeight="1">
      <c r="D292" s="135"/>
      <c r="E292" s="90"/>
      <c r="F292" s="50"/>
      <c r="G292" s="50"/>
      <c r="H292" s="50"/>
      <c r="I292" s="22"/>
      <c r="J292" s="23"/>
      <c r="K292" s="138"/>
      <c r="L292" s="22"/>
      <c r="M292" s="23"/>
    </row>
    <row r="293" spans="4:13" ht="12" customHeight="1">
      <c r="D293" s="135"/>
      <c r="E293" s="90"/>
      <c r="F293" s="50"/>
      <c r="G293" s="50"/>
      <c r="H293" s="50"/>
      <c r="I293" s="22"/>
      <c r="J293" s="23"/>
      <c r="K293" s="138"/>
      <c r="L293" s="22"/>
      <c r="M293" s="23"/>
    </row>
    <row r="294" spans="4:13" ht="12" customHeight="1">
      <c r="D294" s="135"/>
      <c r="E294" s="90"/>
      <c r="F294" s="50"/>
      <c r="G294" s="50"/>
      <c r="H294" s="50"/>
      <c r="I294" s="22"/>
      <c r="J294" s="23"/>
      <c r="K294" s="138"/>
      <c r="L294" s="22"/>
      <c r="M294" s="23"/>
    </row>
    <row r="295" spans="4:13" ht="12" customHeight="1">
      <c r="D295" s="135"/>
      <c r="E295" s="90"/>
      <c r="F295" s="50"/>
      <c r="G295" s="50"/>
      <c r="H295" s="50"/>
      <c r="I295" s="22"/>
      <c r="J295" s="23"/>
      <c r="K295" s="138"/>
      <c r="L295" s="22"/>
      <c r="M295" s="23"/>
    </row>
    <row r="296" spans="4:13" ht="12" customHeight="1">
      <c r="D296" s="135"/>
      <c r="E296" s="90"/>
      <c r="F296" s="50"/>
      <c r="G296" s="50"/>
      <c r="H296" s="50"/>
      <c r="I296" s="22"/>
      <c r="J296" s="23"/>
      <c r="K296" s="138"/>
      <c r="L296" s="22"/>
      <c r="M296" s="23"/>
    </row>
    <row r="297" spans="4:13" ht="12" customHeight="1">
      <c r="D297" s="135"/>
      <c r="E297" s="90"/>
      <c r="F297" s="50"/>
      <c r="G297" s="50"/>
      <c r="H297" s="50"/>
      <c r="I297" s="22"/>
      <c r="J297" s="23"/>
      <c r="K297" s="138"/>
      <c r="L297" s="22"/>
      <c r="M297" s="23"/>
    </row>
    <row r="298" spans="4:13" ht="12" customHeight="1">
      <c r="D298" s="135"/>
      <c r="E298" s="90"/>
      <c r="F298" s="50"/>
      <c r="G298" s="50"/>
      <c r="H298" s="50"/>
      <c r="I298" s="22"/>
      <c r="J298" s="23"/>
      <c r="K298" s="138"/>
      <c r="L298" s="22"/>
      <c r="M298" s="23"/>
    </row>
    <row r="299" spans="4:13" ht="12" customHeight="1">
      <c r="D299" s="135"/>
      <c r="E299" s="90"/>
      <c r="F299" s="50"/>
      <c r="G299" s="50"/>
      <c r="H299" s="50"/>
      <c r="I299" s="22"/>
      <c r="J299" s="23"/>
      <c r="K299" s="138"/>
      <c r="L299" s="22"/>
      <c r="M299" s="23"/>
    </row>
    <row r="300" spans="4:13" ht="12" customHeight="1">
      <c r="D300" s="135"/>
      <c r="E300" s="90"/>
      <c r="F300" s="50"/>
      <c r="G300" s="50"/>
      <c r="H300" s="50"/>
      <c r="I300" s="22"/>
      <c r="J300" s="23"/>
      <c r="K300" s="138"/>
      <c r="L300" s="22"/>
      <c r="M300" s="23"/>
    </row>
    <row r="301" spans="4:13" ht="12" customHeight="1">
      <c r="D301" s="135"/>
      <c r="E301" s="90"/>
      <c r="F301" s="50"/>
      <c r="G301" s="50"/>
      <c r="H301" s="50"/>
      <c r="I301" s="22"/>
      <c r="J301" s="23"/>
      <c r="K301" s="138"/>
      <c r="L301" s="22"/>
      <c r="M301" s="23"/>
    </row>
    <row r="302" spans="4:13" ht="12" customHeight="1">
      <c r="D302" s="135"/>
      <c r="E302" s="90"/>
      <c r="F302" s="50"/>
      <c r="G302" s="50"/>
      <c r="H302" s="50"/>
      <c r="I302" s="22"/>
      <c r="J302" s="23"/>
      <c r="K302" s="138"/>
      <c r="L302" s="22"/>
      <c r="M302" s="23"/>
    </row>
    <row r="303" spans="4:13" ht="12" customHeight="1">
      <c r="D303" s="135"/>
      <c r="E303" s="90"/>
      <c r="F303" s="50"/>
      <c r="G303" s="50"/>
      <c r="H303" s="50"/>
      <c r="I303" s="22"/>
      <c r="J303" s="23"/>
      <c r="K303" s="138"/>
      <c r="L303" s="22"/>
      <c r="M303" s="23"/>
    </row>
    <row r="304" spans="4:13" ht="12" customHeight="1">
      <c r="D304" s="135"/>
      <c r="E304" s="90"/>
      <c r="F304" s="50"/>
      <c r="G304" s="50"/>
      <c r="H304" s="50"/>
      <c r="I304" s="22"/>
      <c r="J304" s="23"/>
      <c r="K304" s="138"/>
      <c r="L304" s="22"/>
      <c r="M304" s="23"/>
    </row>
    <row r="305" spans="4:13" ht="12" customHeight="1">
      <c r="D305" s="135"/>
      <c r="E305" s="90"/>
      <c r="F305" s="50"/>
      <c r="G305" s="50"/>
      <c r="H305" s="50"/>
      <c r="I305" s="22"/>
      <c r="J305" s="23"/>
      <c r="K305" s="138"/>
      <c r="L305" s="22"/>
      <c r="M305" s="23"/>
    </row>
    <row r="306" spans="4:13" ht="12" customHeight="1">
      <c r="D306" s="135"/>
      <c r="E306" s="90"/>
      <c r="F306" s="50"/>
      <c r="G306" s="50"/>
      <c r="H306" s="50"/>
      <c r="I306" s="22"/>
      <c r="J306" s="23"/>
      <c r="K306" s="138"/>
      <c r="L306" s="22"/>
      <c r="M306" s="23"/>
    </row>
    <row r="307" spans="4:13" ht="12" customHeight="1">
      <c r="D307" s="135"/>
      <c r="E307" s="90"/>
      <c r="F307" s="50"/>
      <c r="G307" s="50"/>
      <c r="H307" s="50"/>
      <c r="I307" s="22"/>
      <c r="J307" s="23"/>
      <c r="K307" s="138"/>
      <c r="L307" s="22"/>
      <c r="M307" s="23"/>
    </row>
    <row r="308" spans="4:13" ht="12" customHeight="1">
      <c r="D308" s="135"/>
      <c r="E308" s="90"/>
      <c r="F308" s="50"/>
      <c r="G308" s="50"/>
      <c r="H308" s="50"/>
      <c r="I308" s="22"/>
      <c r="J308" s="23"/>
      <c r="K308" s="138"/>
      <c r="L308" s="22"/>
      <c r="M308" s="23"/>
    </row>
    <row r="309" spans="4:13" ht="12" customHeight="1">
      <c r="D309" s="135"/>
      <c r="E309" s="90"/>
      <c r="F309" s="50"/>
      <c r="G309" s="50"/>
      <c r="H309" s="50"/>
      <c r="I309" s="22"/>
      <c r="J309" s="23"/>
      <c r="K309" s="138"/>
      <c r="L309" s="22"/>
      <c r="M309" s="23"/>
    </row>
    <row r="310" spans="4:13" ht="12" customHeight="1">
      <c r="D310" s="135"/>
      <c r="E310" s="90"/>
      <c r="F310" s="50"/>
      <c r="G310" s="50"/>
      <c r="H310" s="50"/>
      <c r="I310" s="22"/>
      <c r="J310" s="23"/>
      <c r="K310" s="138"/>
      <c r="L310" s="22"/>
      <c r="M310" s="23"/>
    </row>
    <row r="311" spans="4:13" ht="12" customHeight="1">
      <c r="D311" s="135"/>
      <c r="E311" s="90"/>
      <c r="F311" s="50"/>
      <c r="G311" s="50"/>
      <c r="H311" s="50"/>
      <c r="I311" s="22"/>
      <c r="J311" s="23"/>
      <c r="K311" s="138"/>
      <c r="L311" s="22"/>
      <c r="M311" s="23"/>
    </row>
    <row r="312" spans="4:13" ht="12" customHeight="1">
      <c r="D312" s="135"/>
      <c r="E312" s="90"/>
      <c r="F312" s="50"/>
      <c r="G312" s="50"/>
      <c r="H312" s="50"/>
      <c r="I312" s="22"/>
      <c r="J312" s="23"/>
      <c r="K312" s="138"/>
      <c r="L312" s="22"/>
      <c r="M312" s="23"/>
    </row>
    <row r="313" spans="4:13" ht="12" customHeight="1">
      <c r="D313" s="135"/>
      <c r="E313" s="90"/>
      <c r="F313" s="50"/>
      <c r="G313" s="50"/>
      <c r="H313" s="50"/>
      <c r="I313" s="22"/>
      <c r="J313" s="23"/>
      <c r="K313" s="138"/>
      <c r="L313" s="22"/>
      <c r="M313" s="23"/>
    </row>
    <row r="314" spans="4:13" ht="12" customHeight="1">
      <c r="D314" s="135"/>
      <c r="E314" s="90"/>
      <c r="F314" s="50"/>
      <c r="G314" s="50"/>
      <c r="H314" s="50"/>
      <c r="I314" s="22"/>
      <c r="J314" s="23"/>
      <c r="K314" s="138"/>
      <c r="L314" s="22"/>
      <c r="M314" s="23"/>
    </row>
    <row r="315" spans="4:13" ht="12" customHeight="1">
      <c r="D315" s="135"/>
      <c r="E315" s="90"/>
      <c r="F315" s="50"/>
      <c r="G315" s="50"/>
      <c r="H315" s="50"/>
      <c r="I315" s="22"/>
      <c r="J315" s="23"/>
      <c r="K315" s="138"/>
      <c r="L315" s="22"/>
      <c r="M315" s="23"/>
    </row>
    <row r="316" spans="4:13" ht="12" customHeight="1">
      <c r="D316" s="135"/>
      <c r="E316" s="90"/>
      <c r="F316" s="50"/>
      <c r="G316" s="50"/>
      <c r="H316" s="50"/>
      <c r="I316" s="22"/>
      <c r="J316" s="23"/>
      <c r="K316" s="138"/>
      <c r="L316" s="22"/>
      <c r="M316" s="23"/>
    </row>
    <row r="317" spans="4:13" ht="12" customHeight="1">
      <c r="D317" s="135"/>
      <c r="E317" s="90"/>
      <c r="F317" s="50"/>
      <c r="G317" s="50"/>
      <c r="H317" s="50"/>
      <c r="I317" s="22"/>
      <c r="J317" s="23"/>
      <c r="K317" s="138"/>
      <c r="L317" s="22"/>
      <c r="M317" s="23"/>
    </row>
    <row r="318" spans="4:13" ht="12" customHeight="1">
      <c r="D318" s="135"/>
      <c r="E318" s="90"/>
      <c r="F318" s="50"/>
      <c r="G318" s="50"/>
      <c r="H318" s="50"/>
      <c r="I318" s="22"/>
      <c r="J318" s="23"/>
      <c r="K318" s="138"/>
      <c r="L318" s="22"/>
      <c r="M318" s="23"/>
    </row>
    <row r="319" spans="4:13" ht="12" customHeight="1">
      <c r="D319" s="135"/>
      <c r="E319" s="90"/>
      <c r="F319" s="50"/>
      <c r="G319" s="50"/>
      <c r="H319" s="50"/>
      <c r="I319" s="22"/>
      <c r="J319" s="23"/>
      <c r="K319" s="138"/>
      <c r="L319" s="22"/>
      <c r="M319" s="23"/>
    </row>
    <row r="320" spans="4:13" ht="12" customHeight="1">
      <c r="D320" s="135"/>
      <c r="E320" s="90"/>
      <c r="F320" s="50"/>
      <c r="G320" s="50"/>
      <c r="H320" s="50"/>
      <c r="I320" s="22"/>
      <c r="J320" s="23"/>
      <c r="K320" s="138"/>
      <c r="L320" s="22"/>
      <c r="M320" s="23"/>
    </row>
    <row r="321" spans="4:13" ht="12" customHeight="1">
      <c r="D321" s="135"/>
      <c r="E321" s="90"/>
      <c r="F321" s="50"/>
      <c r="G321" s="50"/>
      <c r="H321" s="50"/>
      <c r="I321" s="22"/>
      <c r="J321" s="23"/>
      <c r="K321" s="138"/>
      <c r="L321" s="22"/>
      <c r="M321" s="23"/>
    </row>
    <row r="322" spans="4:13" ht="12" customHeight="1">
      <c r="D322" s="135"/>
      <c r="E322" s="90"/>
      <c r="F322" s="50"/>
      <c r="G322" s="50"/>
      <c r="H322" s="50"/>
      <c r="I322" s="22"/>
      <c r="J322" s="23"/>
      <c r="K322" s="138"/>
      <c r="L322" s="22"/>
      <c r="M322" s="23"/>
    </row>
    <row r="323" spans="4:13" ht="12" customHeight="1">
      <c r="D323" s="135"/>
      <c r="E323" s="90"/>
      <c r="F323" s="50"/>
      <c r="G323" s="50"/>
      <c r="H323" s="50"/>
      <c r="I323" s="22"/>
      <c r="J323" s="23"/>
      <c r="K323" s="138"/>
      <c r="L323" s="22"/>
      <c r="M323" s="23"/>
    </row>
    <row r="324" spans="4:13" ht="12" customHeight="1">
      <c r="D324" s="135"/>
      <c r="E324" s="90"/>
      <c r="F324" s="50"/>
      <c r="G324" s="50"/>
      <c r="H324" s="50"/>
      <c r="I324" s="22"/>
      <c r="J324" s="23"/>
      <c r="K324" s="138"/>
      <c r="L324" s="22"/>
      <c r="M324" s="23"/>
    </row>
    <row r="325" spans="4:13" ht="12" customHeight="1">
      <c r="D325" s="135"/>
      <c r="E325" s="90"/>
      <c r="F325" s="50"/>
      <c r="G325" s="50"/>
      <c r="H325" s="50"/>
      <c r="I325" s="22"/>
      <c r="J325" s="23"/>
      <c r="K325" s="138"/>
      <c r="L325" s="22"/>
      <c r="M325" s="23"/>
    </row>
    <row r="326" spans="4:13" ht="12" customHeight="1">
      <c r="D326" s="135"/>
      <c r="E326" s="90"/>
      <c r="F326" s="50"/>
      <c r="G326" s="50"/>
      <c r="H326" s="50"/>
      <c r="I326" s="22"/>
      <c r="J326" s="23"/>
      <c r="K326" s="138"/>
      <c r="L326" s="22"/>
      <c r="M326" s="23"/>
    </row>
    <row r="327" spans="4:13" ht="12" customHeight="1">
      <c r="D327" s="135"/>
      <c r="E327" s="90"/>
      <c r="F327" s="50"/>
      <c r="G327" s="50"/>
      <c r="H327" s="50"/>
      <c r="I327" s="22"/>
      <c r="J327" s="23"/>
      <c r="K327" s="138"/>
      <c r="L327" s="22"/>
      <c r="M327" s="23"/>
    </row>
    <row r="328" spans="4:13" ht="12" customHeight="1">
      <c r="D328" s="135"/>
      <c r="E328" s="90"/>
      <c r="F328" s="50"/>
      <c r="G328" s="50"/>
      <c r="H328" s="50"/>
      <c r="I328" s="22"/>
      <c r="J328" s="23"/>
      <c r="K328" s="138"/>
      <c r="L328" s="22"/>
      <c r="M328" s="23"/>
    </row>
    <row r="329" spans="4:13" ht="12" customHeight="1">
      <c r="D329" s="135"/>
      <c r="E329" s="90"/>
      <c r="F329" s="50"/>
      <c r="G329" s="50"/>
      <c r="H329" s="50"/>
      <c r="I329" s="22"/>
      <c r="J329" s="23"/>
      <c r="K329" s="138"/>
      <c r="L329" s="22"/>
      <c r="M329" s="23"/>
    </row>
    <row r="330" spans="4:13" ht="12" customHeight="1">
      <c r="D330" s="135"/>
      <c r="E330" s="90"/>
      <c r="F330" s="50"/>
      <c r="G330" s="50"/>
      <c r="H330" s="50"/>
      <c r="I330" s="22"/>
      <c r="J330" s="23"/>
      <c r="K330" s="138"/>
      <c r="L330" s="22"/>
      <c r="M330" s="23"/>
    </row>
    <row r="331" spans="4:13" ht="12" customHeight="1">
      <c r="D331" s="135"/>
      <c r="E331" s="90"/>
      <c r="F331" s="50"/>
      <c r="G331" s="50"/>
      <c r="H331" s="50"/>
      <c r="I331" s="22"/>
      <c r="J331" s="23"/>
      <c r="K331" s="138"/>
      <c r="L331" s="22"/>
      <c r="M331" s="23"/>
    </row>
    <row r="332" spans="4:13" ht="12" customHeight="1">
      <c r="D332" s="135"/>
      <c r="E332" s="90"/>
      <c r="F332" s="50"/>
      <c r="G332" s="50"/>
      <c r="H332" s="50"/>
      <c r="I332" s="22"/>
      <c r="J332" s="23"/>
      <c r="K332" s="138"/>
      <c r="L332" s="22"/>
      <c r="M332" s="23"/>
    </row>
    <row r="333" spans="4:13" ht="12" customHeight="1">
      <c r="D333" s="135"/>
      <c r="E333" s="90"/>
      <c r="F333" s="50"/>
      <c r="G333" s="50"/>
      <c r="H333" s="50"/>
      <c r="I333" s="22"/>
      <c r="J333" s="23"/>
      <c r="K333" s="138"/>
      <c r="L333" s="22"/>
      <c r="M333" s="23"/>
    </row>
    <row r="334" spans="4:13" ht="12" customHeight="1">
      <c r="D334" s="135"/>
      <c r="E334" s="90"/>
      <c r="F334" s="50"/>
      <c r="G334" s="50"/>
      <c r="H334" s="50"/>
      <c r="I334" s="22"/>
      <c r="J334" s="23"/>
      <c r="K334" s="138"/>
      <c r="L334" s="22"/>
      <c r="M334" s="23"/>
    </row>
    <row r="335" spans="4:13" ht="12" customHeight="1">
      <c r="D335" s="135"/>
      <c r="E335" s="90"/>
      <c r="F335" s="50"/>
      <c r="G335" s="50"/>
      <c r="H335" s="50"/>
      <c r="I335" s="22"/>
      <c r="J335" s="23"/>
      <c r="K335" s="138"/>
      <c r="L335" s="22"/>
      <c r="M335" s="23"/>
    </row>
    <row r="336" spans="4:13" ht="12">
      <c r="D336" s="12"/>
      <c r="I336" s="17"/>
      <c r="J336" s="55"/>
      <c r="K336" s="68"/>
      <c r="L336" s="17"/>
      <c r="M336" s="55"/>
    </row>
    <row r="337" spans="4:13" ht="12">
      <c r="D337" s="12"/>
      <c r="I337" s="17"/>
      <c r="J337" s="55"/>
      <c r="K337" s="68"/>
      <c r="L337" s="17"/>
      <c r="M337" s="55"/>
    </row>
    <row r="338" spans="4:13" ht="12">
      <c r="D338" s="12"/>
      <c r="I338" s="17"/>
      <c r="J338" s="55"/>
      <c r="K338" s="68"/>
      <c r="L338" s="17"/>
      <c r="M338" s="55"/>
    </row>
    <row r="339" spans="4:13" ht="12">
      <c r="D339" s="12"/>
      <c r="I339" s="17"/>
      <c r="J339" s="55"/>
      <c r="K339" s="68"/>
      <c r="L339" s="17"/>
      <c r="M339" s="55"/>
    </row>
    <row r="340" spans="4:13" ht="12">
      <c r="D340" s="12"/>
      <c r="I340" s="17"/>
      <c r="J340" s="55"/>
      <c r="K340" s="68"/>
      <c r="L340" s="17"/>
      <c r="M340" s="55"/>
    </row>
    <row r="341" spans="4:13" ht="12">
      <c r="D341" s="12"/>
      <c r="I341" s="17"/>
      <c r="J341" s="55"/>
      <c r="K341" s="68"/>
      <c r="L341" s="17"/>
      <c r="M341" s="55"/>
    </row>
    <row r="342" spans="4:13" ht="12">
      <c r="D342" s="12"/>
      <c r="I342" s="17"/>
      <c r="J342" s="55"/>
      <c r="K342" s="68"/>
      <c r="L342" s="17"/>
      <c r="M342" s="55"/>
    </row>
    <row r="343" spans="4:13" ht="12">
      <c r="D343" s="12"/>
      <c r="I343" s="17"/>
      <c r="J343" s="55"/>
      <c r="K343" s="68"/>
      <c r="L343" s="17"/>
      <c r="M343" s="55"/>
    </row>
    <row r="344" spans="4:13" ht="12">
      <c r="D344" s="12"/>
      <c r="I344" s="17"/>
      <c r="J344" s="55"/>
      <c r="K344" s="68"/>
      <c r="L344" s="17"/>
      <c r="M344" s="55"/>
    </row>
    <row r="345" spans="4:13" ht="12">
      <c r="D345" s="12"/>
      <c r="I345" s="17"/>
      <c r="J345" s="55"/>
      <c r="K345" s="68"/>
      <c r="L345" s="17"/>
      <c r="M345" s="55"/>
    </row>
    <row r="346" spans="4:13" ht="12">
      <c r="D346" s="12"/>
      <c r="I346" s="17"/>
      <c r="J346" s="55"/>
      <c r="K346" s="68"/>
      <c r="L346" s="17"/>
      <c r="M346" s="55"/>
    </row>
    <row r="347" spans="4:13" ht="12">
      <c r="D347" s="12"/>
      <c r="I347" s="17"/>
      <c r="J347" s="55"/>
      <c r="K347" s="68"/>
      <c r="L347" s="17"/>
      <c r="M347" s="55"/>
    </row>
    <row r="348" spans="4:13" ht="12">
      <c r="D348" s="12"/>
      <c r="I348" s="17"/>
      <c r="J348" s="55"/>
      <c r="K348" s="68"/>
      <c r="L348" s="17"/>
      <c r="M348" s="55"/>
    </row>
    <row r="349" spans="4:13" ht="12">
      <c r="D349" s="12"/>
      <c r="I349" s="17"/>
      <c r="J349" s="55"/>
      <c r="K349" s="68"/>
      <c r="L349" s="17"/>
      <c r="M349" s="55"/>
    </row>
    <row r="350" spans="4:13" ht="12">
      <c r="D350" s="12"/>
      <c r="I350" s="17"/>
      <c r="J350" s="55"/>
      <c r="K350" s="68"/>
      <c r="L350" s="17"/>
      <c r="M350" s="55"/>
    </row>
    <row r="351" spans="4:13" ht="12">
      <c r="D351" s="12"/>
      <c r="I351" s="17"/>
      <c r="J351" s="55"/>
      <c r="K351" s="68"/>
      <c r="L351" s="17"/>
      <c r="M351" s="55"/>
    </row>
    <row r="352" spans="4:13" ht="12">
      <c r="D352" s="12"/>
      <c r="I352" s="17"/>
      <c r="J352" s="55"/>
      <c r="K352" s="68"/>
      <c r="L352" s="17"/>
      <c r="M352" s="55"/>
    </row>
    <row r="353" spans="4:13" ht="12">
      <c r="D353" s="12"/>
      <c r="I353" s="17"/>
      <c r="J353" s="55"/>
      <c r="K353" s="68"/>
      <c r="L353" s="17"/>
      <c r="M353" s="55"/>
    </row>
    <row r="354" spans="4:13" ht="12">
      <c r="D354" s="12"/>
      <c r="I354" s="17"/>
      <c r="J354" s="55"/>
      <c r="K354" s="68"/>
      <c r="L354" s="17"/>
      <c r="M354" s="55"/>
    </row>
    <row r="355" spans="4:13" ht="12">
      <c r="D355" s="12"/>
      <c r="I355" s="17"/>
      <c r="J355" s="55"/>
      <c r="K355" s="68"/>
      <c r="L355" s="17"/>
      <c r="M355" s="55"/>
    </row>
    <row r="356" spans="4:13" ht="12">
      <c r="D356" s="12"/>
      <c r="I356" s="17"/>
      <c r="J356" s="55"/>
      <c r="K356" s="68"/>
      <c r="L356" s="17"/>
      <c r="M356" s="55"/>
    </row>
    <row r="357" spans="4:13" ht="12">
      <c r="D357" s="12"/>
      <c r="I357" s="17"/>
      <c r="J357" s="55"/>
      <c r="K357" s="68"/>
      <c r="L357" s="17"/>
      <c r="M357" s="55"/>
    </row>
    <row r="358" spans="4:13" ht="12">
      <c r="D358" s="12"/>
      <c r="I358" s="17"/>
      <c r="J358" s="55"/>
      <c r="K358" s="68"/>
      <c r="L358" s="17"/>
      <c r="M358" s="55"/>
    </row>
    <row r="359" spans="4:13" ht="12">
      <c r="D359" s="12"/>
      <c r="I359" s="17"/>
      <c r="J359" s="55"/>
      <c r="K359" s="68"/>
      <c r="L359" s="17"/>
      <c r="M359" s="55"/>
    </row>
    <row r="360" spans="4:13" ht="12">
      <c r="D360" s="12"/>
      <c r="I360" s="17"/>
      <c r="J360" s="55"/>
      <c r="K360" s="68"/>
      <c r="L360" s="17"/>
      <c r="M360" s="55"/>
    </row>
    <row r="399" spans="4:13" ht="12">
      <c r="D399" s="25"/>
      <c r="F399" s="50"/>
      <c r="G399" s="50"/>
      <c r="H399" s="50"/>
      <c r="I399" s="17"/>
      <c r="J399" s="55"/>
      <c r="L399" s="17"/>
      <c r="M399" s="55"/>
    </row>
  </sheetData>
  <sheetProtection/>
  <mergeCells count="11">
    <mergeCell ref="A37:M37"/>
    <mergeCell ref="A5:M5"/>
    <mergeCell ref="A8:M8"/>
    <mergeCell ref="A9:M9"/>
    <mergeCell ref="A20:M20"/>
    <mergeCell ref="A80:M80"/>
    <mergeCell ref="A259:M259"/>
    <mergeCell ref="A33:M33"/>
    <mergeCell ref="A220:M220"/>
    <mergeCell ref="A184:M184"/>
    <mergeCell ref="A21:M21"/>
  </mergeCells>
  <printOptions/>
  <pageMargins left="0.75" right="0.5" top="1" bottom="1" header="0.5" footer="0.24"/>
  <pageSetup fitToHeight="12" horizontalDpi="600" verticalDpi="600" orientation="landscape" scale="70" r:id="rId1"/>
  <rowBreaks count="8" manualBreakCount="8">
    <brk id="33" max="255" man="1"/>
    <brk id="75" max="255" man="1"/>
    <brk id="122" max="255" man="1"/>
    <brk id="144" max="255" man="1"/>
    <brk id="181" max="255" man="1"/>
    <brk id="217" max="255" man="1"/>
    <brk id="256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Jill Taylor</cp:lastModifiedBy>
  <cp:lastPrinted>2013-07-17T16:28:29Z</cp:lastPrinted>
  <dcterms:created xsi:type="dcterms:W3CDTF">2000-07-06T16:57:05Z</dcterms:created>
  <dcterms:modified xsi:type="dcterms:W3CDTF">2013-07-17T16:29:41Z</dcterms:modified>
  <cp:category/>
  <cp:version/>
  <cp:contentType/>
  <cp:contentStatus/>
</cp:coreProperties>
</file>